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140" activeTab="8"/>
  </bookViews>
  <sheets>
    <sheet name="англ.яз." sheetId="11" r:id="rId1"/>
    <sheet name="ИКТ" sheetId="10" r:id="rId2"/>
    <sheet name="биология" sheetId="9" r:id="rId3"/>
    <sheet name="География" sheetId="14" r:id="rId4"/>
    <sheet name="химия" sheetId="8" r:id="rId5"/>
    <sheet name="история" sheetId="13" r:id="rId6"/>
    <sheet name="Литература" sheetId="15" r:id="rId7"/>
    <sheet name="обществознан." sheetId="5" r:id="rId8"/>
    <sheet name="физика" sheetId="4" r:id="rId9"/>
    <sheet name="Математика" sheetId="16" r:id="rId10"/>
    <sheet name="русский язык" sheetId="1" r:id="rId11"/>
    <sheet name="Лист1" sheetId="17" r:id="rId12"/>
  </sheets>
  <definedNames>
    <definedName name="_xlnm.Print_Area" localSheetId="0">англ.яз.!$A$1:$T$14</definedName>
    <definedName name="_xlnm.Print_Area" localSheetId="2">биология!$A$1:$T$13</definedName>
    <definedName name="_xlnm.Print_Area" localSheetId="3">География!$A$1:$V$40</definedName>
    <definedName name="_xlnm.Print_Area" localSheetId="1">ИКТ!$A$1:$T$13</definedName>
    <definedName name="_xlnm.Print_Area" localSheetId="5">история!$A$1:$T$13</definedName>
    <definedName name="_xlnm.Print_Area" localSheetId="9">Математика!$A$1:$AC$83</definedName>
    <definedName name="_xlnm.Print_Area" localSheetId="7">обществознан.!$A$1:$V$13</definedName>
    <definedName name="_xlnm.Print_Area" localSheetId="10">'русский язык'!$A$1:$Z$69</definedName>
    <definedName name="_xlnm.Print_Area" localSheetId="8">физика!$A$1:$V$66</definedName>
    <definedName name="_xlnm.Print_Area" localSheetId="4">химия!$A$1:$T$13</definedName>
  </definedNames>
  <calcPr calcId="191029"/>
  <fileRecoveryPr repairLoad="1"/>
</workbook>
</file>

<file path=xl/calcChain.xml><?xml version="1.0" encoding="utf-8"?>
<calcChain xmlns="http://schemas.openxmlformats.org/spreadsheetml/2006/main">
  <c r="T12" i="16"/>
  <c r="S12"/>
  <c r="T11"/>
  <c r="T10"/>
  <c r="T9"/>
  <c r="T8"/>
  <c r="T7"/>
  <c r="T6"/>
  <c r="T5"/>
  <c r="T4"/>
  <c r="U12" i="1"/>
  <c r="V12"/>
  <c r="P11"/>
  <c r="Z11"/>
  <c r="X11"/>
  <c r="V11"/>
  <c r="T11"/>
  <c r="Q11"/>
  <c r="R11"/>
  <c r="Z10"/>
  <c r="X10"/>
  <c r="V10"/>
  <c r="T10"/>
  <c r="R10"/>
  <c r="Q10"/>
  <c r="P10"/>
  <c r="Z9"/>
  <c r="X9"/>
  <c r="V9"/>
  <c r="T9"/>
  <c r="R9"/>
  <c r="P9"/>
  <c r="Z8"/>
  <c r="V8"/>
  <c r="T8"/>
  <c r="R8"/>
  <c r="Q8"/>
  <c r="P8"/>
  <c r="Z7"/>
  <c r="V7"/>
  <c r="T7"/>
  <c r="Q7"/>
  <c r="R7"/>
  <c r="P7"/>
  <c r="Z6"/>
  <c r="X6"/>
  <c r="V6"/>
  <c r="T6"/>
  <c r="Q6"/>
  <c r="R6"/>
  <c r="P6"/>
  <c r="Z5"/>
  <c r="X5"/>
  <c r="V5"/>
  <c r="T5"/>
  <c r="R5"/>
  <c r="Q5"/>
  <c r="P5"/>
  <c r="Z4"/>
  <c r="X4"/>
  <c r="V4"/>
  <c r="T4"/>
  <c r="Q4"/>
  <c r="R4"/>
  <c r="P4"/>
  <c r="Q11" i="16"/>
  <c r="P11"/>
  <c r="Q10"/>
  <c r="X10"/>
  <c r="P10"/>
  <c r="P9"/>
  <c r="Q8"/>
  <c r="P8"/>
  <c r="Q7"/>
  <c r="R7"/>
  <c r="P7"/>
  <c r="Q6"/>
  <c r="P6"/>
  <c r="Q5"/>
  <c r="X5"/>
  <c r="P5"/>
  <c r="Q4"/>
  <c r="P4"/>
  <c r="X11"/>
  <c r="X9"/>
  <c r="X8"/>
  <c r="X6"/>
  <c r="X4"/>
  <c r="Z12"/>
  <c r="AA12"/>
  <c r="AA11"/>
  <c r="AA10"/>
  <c r="AA9"/>
  <c r="AA8"/>
  <c r="AA7"/>
  <c r="AA6"/>
  <c r="AA5"/>
  <c r="AA4"/>
  <c r="U12"/>
  <c r="V12"/>
  <c r="V11"/>
  <c r="V10"/>
  <c r="V9"/>
  <c r="V8"/>
  <c r="V7"/>
  <c r="V6"/>
  <c r="V5"/>
  <c r="V4"/>
  <c r="T12" i="4"/>
  <c r="S12" i="1"/>
  <c r="AA5"/>
  <c r="AA6"/>
  <c r="AA7"/>
  <c r="AA8"/>
  <c r="AA9"/>
  <c r="AA10"/>
  <c r="AA11"/>
  <c r="AA4"/>
  <c r="E11"/>
  <c r="AC5" i="16"/>
  <c r="AC6"/>
  <c r="AC7"/>
  <c r="AC8"/>
  <c r="AC9"/>
  <c r="AC10"/>
  <c r="AC11"/>
  <c r="AC4"/>
  <c r="E8"/>
  <c r="E8" i="1"/>
  <c r="E10"/>
  <c r="E10" i="16"/>
  <c r="E11"/>
  <c r="E9"/>
  <c r="E9" i="1"/>
  <c r="AE4" i="16"/>
  <c r="E5" i="10"/>
  <c r="E5" i="16"/>
  <c r="E5" i="1"/>
  <c r="E6" i="5"/>
  <c r="E6" i="14"/>
  <c r="E6" i="9"/>
  <c r="E6" i="10"/>
  <c r="E6" i="11"/>
  <c r="E7" i="1"/>
  <c r="AD7" i="16"/>
  <c r="E7"/>
  <c r="AD6"/>
  <c r="E6"/>
  <c r="E6" i="1"/>
  <c r="R5" i="16"/>
  <c r="R6"/>
  <c r="R9"/>
  <c r="R10"/>
  <c r="E4"/>
  <c r="E4" i="4"/>
  <c r="E4" i="5"/>
  <c r="E4" i="15"/>
  <c r="E4" i="13"/>
  <c r="E4" i="8"/>
  <c r="E4" i="9"/>
  <c r="E4" i="10"/>
  <c r="E17" i="11"/>
  <c r="E4" i="14"/>
  <c r="K9" i="16"/>
  <c r="I9"/>
  <c r="R4"/>
  <c r="Q12" i="5"/>
  <c r="E12"/>
  <c r="E12" i="15"/>
  <c r="R8" i="16"/>
  <c r="AB12"/>
  <c r="N12"/>
  <c r="L12"/>
  <c r="J12"/>
  <c r="P12"/>
  <c r="H12"/>
  <c r="F12"/>
  <c r="D12"/>
  <c r="O11"/>
  <c r="M11"/>
  <c r="K11"/>
  <c r="I11"/>
  <c r="G11"/>
  <c r="O10"/>
  <c r="M10"/>
  <c r="K10"/>
  <c r="I10"/>
  <c r="G10"/>
  <c r="M9"/>
  <c r="G9"/>
  <c r="M8"/>
  <c r="K8"/>
  <c r="I8"/>
  <c r="G8"/>
  <c r="M7"/>
  <c r="K7"/>
  <c r="I7"/>
  <c r="G7"/>
  <c r="M6"/>
  <c r="K6"/>
  <c r="I6"/>
  <c r="M5"/>
  <c r="K5"/>
  <c r="I5"/>
  <c r="G5"/>
  <c r="M4"/>
  <c r="K4"/>
  <c r="I4"/>
  <c r="G4"/>
  <c r="E4" i="1"/>
  <c r="Y12"/>
  <c r="Z12"/>
  <c r="W12"/>
  <c r="X12"/>
  <c r="N12"/>
  <c r="O12"/>
  <c r="L12"/>
  <c r="J12"/>
  <c r="H12"/>
  <c r="F12"/>
  <c r="D12"/>
  <c r="E12"/>
  <c r="O11"/>
  <c r="M11"/>
  <c r="K11"/>
  <c r="I11"/>
  <c r="G11"/>
  <c r="O10"/>
  <c r="M10"/>
  <c r="K10"/>
  <c r="I10"/>
  <c r="O9"/>
  <c r="M9"/>
  <c r="K9"/>
  <c r="I9"/>
  <c r="G9"/>
  <c r="O8"/>
  <c r="M8"/>
  <c r="K8"/>
  <c r="I8"/>
  <c r="G8"/>
  <c r="O7"/>
  <c r="M7"/>
  <c r="K7"/>
  <c r="I7"/>
  <c r="G7"/>
  <c r="O6"/>
  <c r="M6"/>
  <c r="K6"/>
  <c r="I6"/>
  <c r="G6"/>
  <c r="O5"/>
  <c r="M5"/>
  <c r="K5"/>
  <c r="I5"/>
  <c r="G5"/>
  <c r="O4"/>
  <c r="M4"/>
  <c r="K4"/>
  <c r="I4"/>
  <c r="G4"/>
  <c r="O6" i="11"/>
  <c r="I5" i="14"/>
  <c r="G5"/>
  <c r="E5"/>
  <c r="O9" i="9"/>
  <c r="P9"/>
  <c r="E9"/>
  <c r="O7"/>
  <c r="P7"/>
  <c r="E7"/>
  <c r="P6"/>
  <c r="O6"/>
  <c r="O5"/>
  <c r="P5"/>
  <c r="E5"/>
  <c r="O4"/>
  <c r="P4"/>
  <c r="S12"/>
  <c r="Q12"/>
  <c r="L12"/>
  <c r="J12"/>
  <c r="H12"/>
  <c r="F12"/>
  <c r="D12"/>
  <c r="T11"/>
  <c r="R11"/>
  <c r="G11"/>
  <c r="E10"/>
  <c r="T9"/>
  <c r="R9"/>
  <c r="N9"/>
  <c r="M9"/>
  <c r="K9"/>
  <c r="I9"/>
  <c r="G9"/>
  <c r="E8"/>
  <c r="T7"/>
  <c r="R7"/>
  <c r="N7"/>
  <c r="M7"/>
  <c r="K7"/>
  <c r="I7"/>
  <c r="G7"/>
  <c r="T6"/>
  <c r="R6"/>
  <c r="N6"/>
  <c r="M6"/>
  <c r="K6"/>
  <c r="I6"/>
  <c r="G6"/>
  <c r="T5"/>
  <c r="R5"/>
  <c r="N5"/>
  <c r="K5"/>
  <c r="I5"/>
  <c r="G5"/>
  <c r="T4"/>
  <c r="R4"/>
  <c r="K4"/>
  <c r="I4"/>
  <c r="G4"/>
  <c r="O9" i="10"/>
  <c r="E9"/>
  <c r="P7"/>
  <c r="O7"/>
  <c r="E7"/>
  <c r="O6"/>
  <c r="P6"/>
  <c r="O5"/>
  <c r="O4"/>
  <c r="P4"/>
  <c r="S12"/>
  <c r="Q12"/>
  <c r="L12"/>
  <c r="J12"/>
  <c r="H12"/>
  <c r="F12"/>
  <c r="D12"/>
  <c r="G12"/>
  <c r="P11"/>
  <c r="T9"/>
  <c r="R9"/>
  <c r="N9"/>
  <c r="M9"/>
  <c r="K9"/>
  <c r="I9"/>
  <c r="G9"/>
  <c r="P8"/>
  <c r="T7"/>
  <c r="R7"/>
  <c r="M7"/>
  <c r="K7"/>
  <c r="I7"/>
  <c r="G7"/>
  <c r="T6"/>
  <c r="R6"/>
  <c r="M6"/>
  <c r="K6"/>
  <c r="I6"/>
  <c r="G6"/>
  <c r="T5"/>
  <c r="R5"/>
  <c r="M5"/>
  <c r="K5"/>
  <c r="I5"/>
  <c r="G5"/>
  <c r="T4"/>
  <c r="R4"/>
  <c r="N4"/>
  <c r="M4"/>
  <c r="K4"/>
  <c r="I4"/>
  <c r="G4"/>
  <c r="E7" i="13"/>
  <c r="O4"/>
  <c r="P4"/>
  <c r="S12"/>
  <c r="Q12"/>
  <c r="L12"/>
  <c r="J12"/>
  <c r="H12"/>
  <c r="F12"/>
  <c r="D12"/>
  <c r="O12"/>
  <c r="P10"/>
  <c r="E8"/>
  <c r="T7"/>
  <c r="R7"/>
  <c r="M7"/>
  <c r="K7"/>
  <c r="I7"/>
  <c r="G7"/>
  <c r="E5"/>
  <c r="T4"/>
  <c r="R4"/>
  <c r="M4"/>
  <c r="K4"/>
  <c r="I4"/>
  <c r="G4"/>
  <c r="P4" i="15"/>
  <c r="S12"/>
  <c r="Q12"/>
  <c r="L12"/>
  <c r="J12"/>
  <c r="H12"/>
  <c r="F12"/>
  <c r="D12"/>
  <c r="P12"/>
  <c r="P11"/>
  <c r="E11"/>
  <c r="E10"/>
  <c r="E9"/>
  <c r="P8"/>
  <c r="E8"/>
  <c r="E7"/>
  <c r="E6"/>
  <c r="E5"/>
  <c r="T4"/>
  <c r="R4"/>
  <c r="M4"/>
  <c r="K4"/>
  <c r="I4"/>
  <c r="G4"/>
  <c r="E9" i="4"/>
  <c r="Q7"/>
  <c r="E7"/>
  <c r="Q6"/>
  <c r="R6"/>
  <c r="E6"/>
  <c r="Q5"/>
  <c r="E5"/>
  <c r="Q4"/>
  <c r="U12"/>
  <c r="S12"/>
  <c r="N12"/>
  <c r="L12"/>
  <c r="M12"/>
  <c r="J12"/>
  <c r="H12"/>
  <c r="F12"/>
  <c r="D12"/>
  <c r="E12"/>
  <c r="E10"/>
  <c r="V9"/>
  <c r="T9"/>
  <c r="O9"/>
  <c r="M9"/>
  <c r="K9"/>
  <c r="I9"/>
  <c r="G9"/>
  <c r="E8"/>
  <c r="V7"/>
  <c r="T7"/>
  <c r="P7"/>
  <c r="M7"/>
  <c r="K7"/>
  <c r="I7"/>
  <c r="G7"/>
  <c r="V6"/>
  <c r="T6"/>
  <c r="P6"/>
  <c r="O6"/>
  <c r="M6"/>
  <c r="K6"/>
  <c r="I6"/>
  <c r="G6"/>
  <c r="V5"/>
  <c r="T5"/>
  <c r="P5"/>
  <c r="O5"/>
  <c r="K5"/>
  <c r="I5"/>
  <c r="G5"/>
  <c r="V4"/>
  <c r="T4"/>
  <c r="P4"/>
  <c r="O4"/>
  <c r="M4"/>
  <c r="K4"/>
  <c r="I4"/>
  <c r="G4"/>
  <c r="O7" i="8"/>
  <c r="E7"/>
  <c r="E5"/>
  <c r="O4"/>
  <c r="S12"/>
  <c r="T12"/>
  <c r="Q12"/>
  <c r="R12"/>
  <c r="L12"/>
  <c r="J12"/>
  <c r="H12"/>
  <c r="F12"/>
  <c r="G12"/>
  <c r="D12"/>
  <c r="E12"/>
  <c r="E11"/>
  <c r="T7"/>
  <c r="R7"/>
  <c r="N7"/>
  <c r="M7"/>
  <c r="K7"/>
  <c r="I7"/>
  <c r="G7"/>
  <c r="T6"/>
  <c r="R6"/>
  <c r="O6"/>
  <c r="P6"/>
  <c r="N6"/>
  <c r="M6"/>
  <c r="K6"/>
  <c r="I6"/>
  <c r="G6"/>
  <c r="E6"/>
  <c r="T5"/>
  <c r="R5"/>
  <c r="N5"/>
  <c r="M5"/>
  <c r="K5"/>
  <c r="I5"/>
  <c r="G5"/>
  <c r="T4"/>
  <c r="R4"/>
  <c r="N4"/>
  <c r="M4"/>
  <c r="K4"/>
  <c r="I4"/>
  <c r="G4"/>
  <c r="E7" i="11"/>
  <c r="S12"/>
  <c r="Q12"/>
  <c r="J12"/>
  <c r="H12"/>
  <c r="F12"/>
  <c r="D12"/>
  <c r="E11"/>
  <c r="E10"/>
  <c r="E9"/>
  <c r="E8"/>
  <c r="T7"/>
  <c r="R7"/>
  <c r="M7"/>
  <c r="K7"/>
  <c r="I7"/>
  <c r="G7"/>
  <c r="T6"/>
  <c r="R6"/>
  <c r="N6"/>
  <c r="M6"/>
  <c r="K6"/>
  <c r="I6"/>
  <c r="G6"/>
  <c r="E5"/>
  <c r="E4"/>
  <c r="R5" i="5"/>
  <c r="Q10" i="14"/>
  <c r="E10"/>
  <c r="Q9"/>
  <c r="E9"/>
  <c r="E7"/>
  <c r="U12"/>
  <c r="S12"/>
  <c r="N12"/>
  <c r="L12"/>
  <c r="J12"/>
  <c r="K12"/>
  <c r="H12"/>
  <c r="F12"/>
  <c r="D12"/>
  <c r="E12"/>
  <c r="E11"/>
  <c r="V10"/>
  <c r="T10"/>
  <c r="O10"/>
  <c r="M10"/>
  <c r="K10"/>
  <c r="I10"/>
  <c r="G10"/>
  <c r="V9"/>
  <c r="T9"/>
  <c r="M9"/>
  <c r="K9"/>
  <c r="I9"/>
  <c r="G9"/>
  <c r="E8"/>
  <c r="V7"/>
  <c r="T7"/>
  <c r="O7"/>
  <c r="M7"/>
  <c r="K7"/>
  <c r="I7"/>
  <c r="G7"/>
  <c r="V6"/>
  <c r="O6"/>
  <c r="M6"/>
  <c r="K6"/>
  <c r="I6"/>
  <c r="G6"/>
  <c r="Q11" i="5"/>
  <c r="E11"/>
  <c r="Q8"/>
  <c r="R8"/>
  <c r="E8"/>
  <c r="Q7"/>
  <c r="E7"/>
  <c r="Q6"/>
  <c r="Q5"/>
  <c r="E5"/>
  <c r="U12"/>
  <c r="V12"/>
  <c r="S12"/>
  <c r="L12"/>
  <c r="J12"/>
  <c r="H12"/>
  <c r="I12"/>
  <c r="F12"/>
  <c r="D12"/>
  <c r="V11"/>
  <c r="T11"/>
  <c r="P11"/>
  <c r="O11"/>
  <c r="M11"/>
  <c r="K11"/>
  <c r="I11"/>
  <c r="G11"/>
  <c r="E10"/>
  <c r="E9"/>
  <c r="V8"/>
  <c r="T8"/>
  <c r="P8"/>
  <c r="O8"/>
  <c r="M8"/>
  <c r="K8"/>
  <c r="I8"/>
  <c r="G8"/>
  <c r="V7"/>
  <c r="T7"/>
  <c r="O7"/>
  <c r="M7"/>
  <c r="K7"/>
  <c r="I7"/>
  <c r="G7"/>
  <c r="V6"/>
  <c r="T6"/>
  <c r="O6"/>
  <c r="M6"/>
  <c r="K6"/>
  <c r="I6"/>
  <c r="G6"/>
  <c r="V5"/>
  <c r="T5"/>
  <c r="P5"/>
  <c r="O5"/>
  <c r="M5"/>
  <c r="K5"/>
  <c r="I5"/>
  <c r="G5"/>
  <c r="V4"/>
  <c r="T4"/>
  <c r="P4"/>
  <c r="O4"/>
  <c r="M4"/>
  <c r="K4"/>
  <c r="I4"/>
  <c r="G4"/>
  <c r="E17" i="16"/>
  <c r="E17" i="4"/>
  <c r="E17" i="5"/>
  <c r="E17" i="15"/>
  <c r="E17" i="8"/>
  <c r="E17" i="14"/>
  <c r="E17" i="9"/>
  <c r="E17" i="10"/>
  <c r="W25" i="1"/>
  <c r="O24" i="9"/>
  <c r="P24"/>
  <c r="N24"/>
  <c r="L25" i="10"/>
  <c r="Q19" i="16"/>
  <c r="Q18" i="1"/>
  <c r="P17" i="5"/>
  <c r="Q23"/>
  <c r="R23"/>
  <c r="Q20"/>
  <c r="P20"/>
  <c r="P18"/>
  <c r="P19"/>
  <c r="P21"/>
  <c r="P22"/>
  <c r="P23"/>
  <c r="P24"/>
  <c r="Q17"/>
  <c r="O18"/>
  <c r="O19"/>
  <c r="O20"/>
  <c r="O21"/>
  <c r="O22"/>
  <c r="O23"/>
  <c r="O24"/>
  <c r="O17"/>
  <c r="Q19" i="14"/>
  <c r="R19"/>
  <c r="P18"/>
  <c r="P19"/>
  <c r="P20"/>
  <c r="P21"/>
  <c r="P22"/>
  <c r="P23"/>
  <c r="P24"/>
  <c r="P17"/>
  <c r="O18"/>
  <c r="O19"/>
  <c r="O20"/>
  <c r="O21"/>
  <c r="O22"/>
  <c r="O23"/>
  <c r="O24"/>
  <c r="O17"/>
  <c r="N25"/>
  <c r="O25"/>
  <c r="N25" i="4"/>
  <c r="Q20"/>
  <c r="R20"/>
  <c r="P17"/>
  <c r="P18"/>
  <c r="P19"/>
  <c r="P20"/>
  <c r="P21"/>
  <c r="P22"/>
  <c r="P23"/>
  <c r="P24"/>
  <c r="P18" i="1"/>
  <c r="P19"/>
  <c r="P20"/>
  <c r="P21"/>
  <c r="P22"/>
  <c r="P23"/>
  <c r="P24"/>
  <c r="P17"/>
  <c r="O18" i="4"/>
  <c r="O19"/>
  <c r="O20"/>
  <c r="O21"/>
  <c r="O22"/>
  <c r="O23"/>
  <c r="O24"/>
  <c r="O17"/>
  <c r="O18" i="1"/>
  <c r="O19"/>
  <c r="O20"/>
  <c r="O21"/>
  <c r="O22"/>
  <c r="O23"/>
  <c r="O24"/>
  <c r="O17"/>
  <c r="N25"/>
  <c r="M18"/>
  <c r="J25" i="16"/>
  <c r="P23"/>
  <c r="Q23"/>
  <c r="R23"/>
  <c r="P22"/>
  <c r="Q22"/>
  <c r="P18"/>
  <c r="Q24"/>
  <c r="R24"/>
  <c r="P19"/>
  <c r="P20"/>
  <c r="P21"/>
  <c r="P24"/>
  <c r="Q20"/>
  <c r="Q18"/>
  <c r="N25"/>
  <c r="O18"/>
  <c r="O19"/>
  <c r="O20"/>
  <c r="O21"/>
  <c r="O22"/>
  <c r="O23"/>
  <c r="O24"/>
  <c r="O17"/>
  <c r="O22" i="13"/>
  <c r="P22"/>
  <c r="E22"/>
  <c r="E21"/>
  <c r="O20"/>
  <c r="P20"/>
  <c r="O19"/>
  <c r="P19"/>
  <c r="E20"/>
  <c r="E19"/>
  <c r="E18"/>
  <c r="E17"/>
  <c r="L25"/>
  <c r="O17"/>
  <c r="P17"/>
  <c r="O21"/>
  <c r="P21"/>
  <c r="O23"/>
  <c r="O24"/>
  <c r="P24"/>
  <c r="S25"/>
  <c r="Q25"/>
  <c r="J25"/>
  <c r="H25"/>
  <c r="F25"/>
  <c r="D25"/>
  <c r="T24"/>
  <c r="R24"/>
  <c r="N24"/>
  <c r="M24"/>
  <c r="K24"/>
  <c r="I24"/>
  <c r="G24"/>
  <c r="T23"/>
  <c r="R23"/>
  <c r="P23"/>
  <c r="N23"/>
  <c r="M23"/>
  <c r="K23"/>
  <c r="I23"/>
  <c r="G23"/>
  <c r="T22"/>
  <c r="R22"/>
  <c r="N22"/>
  <c r="M22"/>
  <c r="K22"/>
  <c r="I22"/>
  <c r="G22"/>
  <c r="T21"/>
  <c r="R21"/>
  <c r="N21"/>
  <c r="M21"/>
  <c r="K21"/>
  <c r="I21"/>
  <c r="G21"/>
  <c r="T20"/>
  <c r="R20"/>
  <c r="N20"/>
  <c r="M20"/>
  <c r="K20"/>
  <c r="I20"/>
  <c r="G20"/>
  <c r="T19"/>
  <c r="R19"/>
  <c r="N19"/>
  <c r="M19"/>
  <c r="K19"/>
  <c r="I19"/>
  <c r="G19"/>
  <c r="T18"/>
  <c r="R18"/>
  <c r="O18"/>
  <c r="P18"/>
  <c r="N18"/>
  <c r="M18"/>
  <c r="K18"/>
  <c r="I18"/>
  <c r="G18"/>
  <c r="T17"/>
  <c r="R17"/>
  <c r="N17"/>
  <c r="M17"/>
  <c r="K17"/>
  <c r="I17"/>
  <c r="G17"/>
  <c r="E31"/>
  <c r="G31"/>
  <c r="I31"/>
  <c r="K31"/>
  <c r="M31"/>
  <c r="N31"/>
  <c r="O31"/>
  <c r="P31"/>
  <c r="R31"/>
  <c r="T31"/>
  <c r="E32"/>
  <c r="G32"/>
  <c r="I32"/>
  <c r="K32"/>
  <c r="M32"/>
  <c r="N32"/>
  <c r="O32"/>
  <c r="P32"/>
  <c r="R32"/>
  <c r="T32"/>
  <c r="E33"/>
  <c r="G33"/>
  <c r="I33"/>
  <c r="K33"/>
  <c r="M33"/>
  <c r="N33"/>
  <c r="R33"/>
  <c r="T33"/>
  <c r="E34"/>
  <c r="G34"/>
  <c r="I34"/>
  <c r="K34"/>
  <c r="M34"/>
  <c r="N34"/>
  <c r="O34"/>
  <c r="P34"/>
  <c r="R34"/>
  <c r="T34"/>
  <c r="G35"/>
  <c r="I35"/>
  <c r="K35"/>
  <c r="M35"/>
  <c r="N35"/>
  <c r="P35"/>
  <c r="R35"/>
  <c r="T35"/>
  <c r="G36"/>
  <c r="I36"/>
  <c r="K36"/>
  <c r="M36"/>
  <c r="N36"/>
  <c r="P36"/>
  <c r="R36"/>
  <c r="T36"/>
  <c r="G37"/>
  <c r="I37"/>
  <c r="K37"/>
  <c r="M37"/>
  <c r="N37"/>
  <c r="P37"/>
  <c r="R37"/>
  <c r="T37"/>
  <c r="G38"/>
  <c r="I38"/>
  <c r="K38"/>
  <c r="M38"/>
  <c r="N38"/>
  <c r="P38"/>
  <c r="R38"/>
  <c r="T38"/>
  <c r="D39"/>
  <c r="O39"/>
  <c r="F39"/>
  <c r="H39"/>
  <c r="I39"/>
  <c r="J39"/>
  <c r="K39"/>
  <c r="Q39"/>
  <c r="S39"/>
  <c r="T39"/>
  <c r="R25" i="14"/>
  <c r="Q23"/>
  <c r="R23"/>
  <c r="E23"/>
  <c r="E22"/>
  <c r="Q20"/>
  <c r="R20"/>
  <c r="Q22"/>
  <c r="R22"/>
  <c r="Q18"/>
  <c r="E18"/>
  <c r="E24" i="9"/>
  <c r="O21"/>
  <c r="E21"/>
  <c r="O20"/>
  <c r="P20"/>
  <c r="E19"/>
  <c r="O19"/>
  <c r="O18"/>
  <c r="E18"/>
  <c r="O17"/>
  <c r="P17"/>
  <c r="S25"/>
  <c r="Q25"/>
  <c r="L25"/>
  <c r="N25"/>
  <c r="J25"/>
  <c r="H25"/>
  <c r="F25"/>
  <c r="G25"/>
  <c r="D25"/>
  <c r="T24"/>
  <c r="R24"/>
  <c r="K24"/>
  <c r="I24"/>
  <c r="G24"/>
  <c r="T23"/>
  <c r="R23"/>
  <c r="O23"/>
  <c r="P23"/>
  <c r="N23"/>
  <c r="K23"/>
  <c r="I23"/>
  <c r="G23"/>
  <c r="E23"/>
  <c r="T22"/>
  <c r="R22"/>
  <c r="O22"/>
  <c r="P22"/>
  <c r="N22"/>
  <c r="M22"/>
  <c r="K22"/>
  <c r="I22"/>
  <c r="G22"/>
  <c r="E22"/>
  <c r="T21"/>
  <c r="R21"/>
  <c r="P21"/>
  <c r="N21"/>
  <c r="K21"/>
  <c r="I21"/>
  <c r="G21"/>
  <c r="T20"/>
  <c r="R20"/>
  <c r="N20"/>
  <c r="M20"/>
  <c r="K20"/>
  <c r="I20"/>
  <c r="G20"/>
  <c r="E20"/>
  <c r="T19"/>
  <c r="R19"/>
  <c r="P19"/>
  <c r="N19"/>
  <c r="M19"/>
  <c r="K19"/>
  <c r="I19"/>
  <c r="G19"/>
  <c r="T18"/>
  <c r="R18"/>
  <c r="P18"/>
  <c r="N18"/>
  <c r="K18"/>
  <c r="I18"/>
  <c r="G18"/>
  <c r="T17"/>
  <c r="R17"/>
  <c r="N17"/>
  <c r="K17"/>
  <c r="I17"/>
  <c r="G17"/>
  <c r="O19" i="10"/>
  <c r="P19"/>
  <c r="O18"/>
  <c r="P18"/>
  <c r="O19" i="15"/>
  <c r="P19"/>
  <c r="O17"/>
  <c r="P17"/>
  <c r="S25"/>
  <c r="T25"/>
  <c r="Q25"/>
  <c r="L25"/>
  <c r="M25"/>
  <c r="J25"/>
  <c r="H25"/>
  <c r="I25"/>
  <c r="F25"/>
  <c r="N25"/>
  <c r="D25"/>
  <c r="P25"/>
  <c r="T24"/>
  <c r="R24"/>
  <c r="P24"/>
  <c r="N24"/>
  <c r="M24"/>
  <c r="K24"/>
  <c r="I24"/>
  <c r="G24"/>
  <c r="E24"/>
  <c r="T23"/>
  <c r="R23"/>
  <c r="O23"/>
  <c r="P23"/>
  <c r="N23"/>
  <c r="M23"/>
  <c r="K23"/>
  <c r="I23"/>
  <c r="G23"/>
  <c r="E23"/>
  <c r="T22"/>
  <c r="R22"/>
  <c r="O22"/>
  <c r="P22"/>
  <c r="N22"/>
  <c r="M22"/>
  <c r="K22"/>
  <c r="I22"/>
  <c r="G22"/>
  <c r="E22"/>
  <c r="T21"/>
  <c r="R21"/>
  <c r="P21"/>
  <c r="N21"/>
  <c r="M21"/>
  <c r="K21"/>
  <c r="I21"/>
  <c r="G21"/>
  <c r="E21"/>
  <c r="T20"/>
  <c r="R20"/>
  <c r="O20"/>
  <c r="P20"/>
  <c r="N20"/>
  <c r="M20"/>
  <c r="K20"/>
  <c r="I20"/>
  <c r="G20"/>
  <c r="E20"/>
  <c r="T19"/>
  <c r="R19"/>
  <c r="N19"/>
  <c r="M19"/>
  <c r="K19"/>
  <c r="I19"/>
  <c r="G19"/>
  <c r="E19"/>
  <c r="T18"/>
  <c r="R18"/>
  <c r="O18"/>
  <c r="P18"/>
  <c r="N18"/>
  <c r="M18"/>
  <c r="K18"/>
  <c r="I18"/>
  <c r="G18"/>
  <c r="E18"/>
  <c r="T17"/>
  <c r="R17"/>
  <c r="N17"/>
  <c r="M17"/>
  <c r="K17"/>
  <c r="I17"/>
  <c r="G17"/>
  <c r="E20" i="4"/>
  <c r="Q19"/>
  <c r="R19"/>
  <c r="E19"/>
  <c r="E18"/>
  <c r="Q18"/>
  <c r="Q17"/>
  <c r="R17"/>
  <c r="U25"/>
  <c r="S25"/>
  <c r="L25"/>
  <c r="J25"/>
  <c r="H25"/>
  <c r="P25"/>
  <c r="F25"/>
  <c r="D25"/>
  <c r="V24"/>
  <c r="T24"/>
  <c r="M24"/>
  <c r="K24"/>
  <c r="I24"/>
  <c r="G24"/>
  <c r="E24"/>
  <c r="V23"/>
  <c r="T23"/>
  <c r="M23"/>
  <c r="K23"/>
  <c r="I23"/>
  <c r="G23"/>
  <c r="E23"/>
  <c r="V22"/>
  <c r="T22"/>
  <c r="M22"/>
  <c r="K22"/>
  <c r="I22"/>
  <c r="G22"/>
  <c r="E22"/>
  <c r="V21"/>
  <c r="T21"/>
  <c r="M21"/>
  <c r="K21"/>
  <c r="I21"/>
  <c r="G21"/>
  <c r="E21"/>
  <c r="V20"/>
  <c r="T20"/>
  <c r="M20"/>
  <c r="K20"/>
  <c r="I20"/>
  <c r="G20"/>
  <c r="V19"/>
  <c r="T19"/>
  <c r="M19"/>
  <c r="K19"/>
  <c r="I19"/>
  <c r="G19"/>
  <c r="V18"/>
  <c r="T18"/>
  <c r="R18"/>
  <c r="M18"/>
  <c r="K18"/>
  <c r="I18"/>
  <c r="G18"/>
  <c r="V17"/>
  <c r="T17"/>
  <c r="M17"/>
  <c r="K17"/>
  <c r="I17"/>
  <c r="G17"/>
  <c r="O20" i="8"/>
  <c r="P20"/>
  <c r="O19"/>
  <c r="P19"/>
  <c r="O18"/>
  <c r="P18"/>
  <c r="O17"/>
  <c r="E24"/>
  <c r="E20"/>
  <c r="E19"/>
  <c r="E18"/>
  <c r="L25"/>
  <c r="S25"/>
  <c r="Q25"/>
  <c r="R25"/>
  <c r="J25"/>
  <c r="H25"/>
  <c r="F25"/>
  <c r="D25"/>
  <c r="N25"/>
  <c r="T24"/>
  <c r="R24"/>
  <c r="N24"/>
  <c r="M24"/>
  <c r="K24"/>
  <c r="I24"/>
  <c r="G24"/>
  <c r="T23"/>
  <c r="R23"/>
  <c r="N23"/>
  <c r="M23"/>
  <c r="K23"/>
  <c r="I23"/>
  <c r="G23"/>
  <c r="T22"/>
  <c r="R22"/>
  <c r="N22"/>
  <c r="M22"/>
  <c r="K22"/>
  <c r="I22"/>
  <c r="G22"/>
  <c r="T21"/>
  <c r="R21"/>
  <c r="N21"/>
  <c r="M21"/>
  <c r="K21"/>
  <c r="I21"/>
  <c r="G21"/>
  <c r="T20"/>
  <c r="R20"/>
  <c r="N20"/>
  <c r="M20"/>
  <c r="K20"/>
  <c r="I20"/>
  <c r="G20"/>
  <c r="T19"/>
  <c r="R19"/>
  <c r="N19"/>
  <c r="M19"/>
  <c r="K19"/>
  <c r="I19"/>
  <c r="G19"/>
  <c r="T18"/>
  <c r="R18"/>
  <c r="N18"/>
  <c r="M18"/>
  <c r="K18"/>
  <c r="I18"/>
  <c r="G18"/>
  <c r="T17"/>
  <c r="R17"/>
  <c r="P17"/>
  <c r="N17"/>
  <c r="M17"/>
  <c r="K17"/>
  <c r="I17"/>
  <c r="G17"/>
  <c r="Q21" i="14"/>
  <c r="R21"/>
  <c r="E21"/>
  <c r="E20"/>
  <c r="E19"/>
  <c r="Q17"/>
  <c r="R17"/>
  <c r="U25"/>
  <c r="V25"/>
  <c r="S25"/>
  <c r="T25"/>
  <c r="L25"/>
  <c r="M25"/>
  <c r="J25"/>
  <c r="H25"/>
  <c r="F25"/>
  <c r="G25"/>
  <c r="D25"/>
  <c r="Q25"/>
  <c r="V24"/>
  <c r="T24"/>
  <c r="M24"/>
  <c r="K24"/>
  <c r="I24"/>
  <c r="G24"/>
  <c r="E24"/>
  <c r="V23"/>
  <c r="T23"/>
  <c r="M23"/>
  <c r="K23"/>
  <c r="I23"/>
  <c r="G23"/>
  <c r="V22"/>
  <c r="T22"/>
  <c r="M22"/>
  <c r="K22"/>
  <c r="I22"/>
  <c r="G22"/>
  <c r="V21"/>
  <c r="T21"/>
  <c r="M21"/>
  <c r="K21"/>
  <c r="I21"/>
  <c r="G21"/>
  <c r="V20"/>
  <c r="T20"/>
  <c r="M20"/>
  <c r="K20"/>
  <c r="I20"/>
  <c r="G20"/>
  <c r="V19"/>
  <c r="T19"/>
  <c r="M19"/>
  <c r="K19"/>
  <c r="I19"/>
  <c r="G19"/>
  <c r="V18"/>
  <c r="T18"/>
  <c r="R18"/>
  <c r="M18"/>
  <c r="K18"/>
  <c r="I18"/>
  <c r="G18"/>
  <c r="V17"/>
  <c r="T17"/>
  <c r="M17"/>
  <c r="K17"/>
  <c r="I17"/>
  <c r="G17"/>
  <c r="O22" i="10"/>
  <c r="P22"/>
  <c r="E22"/>
  <c r="O20"/>
  <c r="P20"/>
  <c r="E20"/>
  <c r="E19"/>
  <c r="E18"/>
  <c r="O17"/>
  <c r="P17"/>
  <c r="S25"/>
  <c r="T25"/>
  <c r="Q25"/>
  <c r="J25"/>
  <c r="H25"/>
  <c r="F25"/>
  <c r="D25"/>
  <c r="P25"/>
  <c r="T24"/>
  <c r="R24"/>
  <c r="P24"/>
  <c r="N24"/>
  <c r="M24"/>
  <c r="K24"/>
  <c r="I24"/>
  <c r="G24"/>
  <c r="T23"/>
  <c r="R23"/>
  <c r="P23"/>
  <c r="N23"/>
  <c r="M23"/>
  <c r="K23"/>
  <c r="I23"/>
  <c r="G23"/>
  <c r="T22"/>
  <c r="R22"/>
  <c r="N22"/>
  <c r="M22"/>
  <c r="K22"/>
  <c r="I22"/>
  <c r="G22"/>
  <c r="T21"/>
  <c r="R21"/>
  <c r="P21"/>
  <c r="N21"/>
  <c r="M21"/>
  <c r="K21"/>
  <c r="I21"/>
  <c r="G21"/>
  <c r="T20"/>
  <c r="R20"/>
  <c r="N20"/>
  <c r="M20"/>
  <c r="K20"/>
  <c r="I20"/>
  <c r="G20"/>
  <c r="T19"/>
  <c r="R19"/>
  <c r="N19"/>
  <c r="M19"/>
  <c r="K19"/>
  <c r="I19"/>
  <c r="G19"/>
  <c r="T18"/>
  <c r="R18"/>
  <c r="N18"/>
  <c r="M18"/>
  <c r="K18"/>
  <c r="I18"/>
  <c r="G18"/>
  <c r="T17"/>
  <c r="R17"/>
  <c r="N17"/>
  <c r="M17"/>
  <c r="K17"/>
  <c r="I17"/>
  <c r="G17"/>
  <c r="X24" i="16"/>
  <c r="Y24"/>
  <c r="E24"/>
  <c r="X23"/>
  <c r="Y23"/>
  <c r="E23"/>
  <c r="X22"/>
  <c r="Y22"/>
  <c r="E22"/>
  <c r="X21"/>
  <c r="Y21"/>
  <c r="Q21"/>
  <c r="R21"/>
  <c r="E21"/>
  <c r="X20"/>
  <c r="Y20"/>
  <c r="R20"/>
  <c r="E20"/>
  <c r="X19"/>
  <c r="Y19"/>
  <c r="R19"/>
  <c r="E19"/>
  <c r="Y18"/>
  <c r="E18"/>
  <c r="X17"/>
  <c r="Y17"/>
  <c r="Q17"/>
  <c r="R17"/>
  <c r="P17"/>
  <c r="AB25"/>
  <c r="Z25"/>
  <c r="L25"/>
  <c r="H25"/>
  <c r="F25"/>
  <c r="G25"/>
  <c r="D25"/>
  <c r="K25"/>
  <c r="R25"/>
  <c r="AA24"/>
  <c r="M24"/>
  <c r="K24"/>
  <c r="I24"/>
  <c r="G24"/>
  <c r="AC24"/>
  <c r="AA23"/>
  <c r="M23"/>
  <c r="K23"/>
  <c r="I23"/>
  <c r="G23"/>
  <c r="AC23"/>
  <c r="AA22"/>
  <c r="R22"/>
  <c r="M22"/>
  <c r="K22"/>
  <c r="I22"/>
  <c r="G22"/>
  <c r="AC22"/>
  <c r="AA21"/>
  <c r="M21"/>
  <c r="K21"/>
  <c r="I21"/>
  <c r="G21"/>
  <c r="AC21"/>
  <c r="AA20"/>
  <c r="M20"/>
  <c r="K20"/>
  <c r="I20"/>
  <c r="G20"/>
  <c r="AC20"/>
  <c r="AA19"/>
  <c r="M19"/>
  <c r="K19"/>
  <c r="I19"/>
  <c r="G19"/>
  <c r="AC19"/>
  <c r="AA18"/>
  <c r="X18"/>
  <c r="R18"/>
  <c r="M18"/>
  <c r="K18"/>
  <c r="I18"/>
  <c r="G18"/>
  <c r="AC18"/>
  <c r="AA17"/>
  <c r="M17"/>
  <c r="K17"/>
  <c r="I17"/>
  <c r="G17"/>
  <c r="AC17"/>
  <c r="R24" i="5"/>
  <c r="Q22"/>
  <c r="R22"/>
  <c r="Q21"/>
  <c r="Q19"/>
  <c r="R19"/>
  <c r="R18" i="1"/>
  <c r="Q18" i="5"/>
  <c r="E24"/>
  <c r="E23"/>
  <c r="E22"/>
  <c r="E21"/>
  <c r="E20"/>
  <c r="E19"/>
  <c r="E18"/>
  <c r="U25"/>
  <c r="S25"/>
  <c r="L25"/>
  <c r="J25"/>
  <c r="H25"/>
  <c r="F25"/>
  <c r="D25"/>
  <c r="V24"/>
  <c r="T24"/>
  <c r="M24"/>
  <c r="K24"/>
  <c r="I24"/>
  <c r="G24"/>
  <c r="V23"/>
  <c r="T23"/>
  <c r="M23"/>
  <c r="K23"/>
  <c r="I23"/>
  <c r="G23"/>
  <c r="V22"/>
  <c r="T22"/>
  <c r="M22"/>
  <c r="K22"/>
  <c r="I22"/>
  <c r="G22"/>
  <c r="V21"/>
  <c r="T21"/>
  <c r="R21"/>
  <c r="M21"/>
  <c r="K21"/>
  <c r="I21"/>
  <c r="G21"/>
  <c r="V20"/>
  <c r="T20"/>
  <c r="R20"/>
  <c r="M20"/>
  <c r="K20"/>
  <c r="I20"/>
  <c r="G20"/>
  <c r="V19"/>
  <c r="T19"/>
  <c r="M19"/>
  <c r="K19"/>
  <c r="I19"/>
  <c r="G19"/>
  <c r="V18"/>
  <c r="T18"/>
  <c r="R18"/>
  <c r="M18"/>
  <c r="K18"/>
  <c r="I18"/>
  <c r="G18"/>
  <c r="V17"/>
  <c r="T17"/>
  <c r="R17"/>
  <c r="M17"/>
  <c r="K17"/>
  <c r="I17"/>
  <c r="G17"/>
  <c r="Q24" i="1"/>
  <c r="R24"/>
  <c r="Q23"/>
  <c r="R23"/>
  <c r="Q22"/>
  <c r="R22"/>
  <c r="Q21"/>
  <c r="R21"/>
  <c r="Q20"/>
  <c r="R20"/>
  <c r="Q19"/>
  <c r="R19"/>
  <c r="Q17"/>
  <c r="R17"/>
  <c r="E24"/>
  <c r="E23"/>
  <c r="E22"/>
  <c r="E21"/>
  <c r="E20"/>
  <c r="E19"/>
  <c r="E18"/>
  <c r="E17"/>
  <c r="D25"/>
  <c r="Q25"/>
  <c r="R25"/>
  <c r="Y25"/>
  <c r="L25"/>
  <c r="M25"/>
  <c r="J25"/>
  <c r="K25"/>
  <c r="H25"/>
  <c r="F25"/>
  <c r="Z24"/>
  <c r="X24"/>
  <c r="M24"/>
  <c r="K24"/>
  <c r="I24"/>
  <c r="G24"/>
  <c r="Z23"/>
  <c r="X23"/>
  <c r="M23"/>
  <c r="K23"/>
  <c r="I23"/>
  <c r="G23"/>
  <c r="Z22"/>
  <c r="X22"/>
  <c r="M22"/>
  <c r="K22"/>
  <c r="I22"/>
  <c r="G22"/>
  <c r="Z21"/>
  <c r="X21"/>
  <c r="M21"/>
  <c r="K21"/>
  <c r="I21"/>
  <c r="G21"/>
  <c r="Z20"/>
  <c r="X20"/>
  <c r="M20"/>
  <c r="K20"/>
  <c r="I20"/>
  <c r="G20"/>
  <c r="Z19"/>
  <c r="X19"/>
  <c r="M19"/>
  <c r="K19"/>
  <c r="I19"/>
  <c r="G19"/>
  <c r="Z18"/>
  <c r="X18"/>
  <c r="K18"/>
  <c r="I18"/>
  <c r="G18"/>
  <c r="Z17"/>
  <c r="X17"/>
  <c r="M17"/>
  <c r="K17"/>
  <c r="I17"/>
  <c r="G17"/>
  <c r="P19" i="11"/>
  <c r="O19"/>
  <c r="E24"/>
  <c r="E23"/>
  <c r="E22"/>
  <c r="E21"/>
  <c r="E20"/>
  <c r="E19"/>
  <c r="E18"/>
  <c r="O17"/>
  <c r="P17"/>
  <c r="N24"/>
  <c r="D25"/>
  <c r="S25"/>
  <c r="Q25"/>
  <c r="J25"/>
  <c r="H25"/>
  <c r="I25"/>
  <c r="F25"/>
  <c r="N25"/>
  <c r="T24"/>
  <c r="R24"/>
  <c r="M24"/>
  <c r="K24"/>
  <c r="I24"/>
  <c r="T23"/>
  <c r="R23"/>
  <c r="N23"/>
  <c r="M23"/>
  <c r="K23"/>
  <c r="I23"/>
  <c r="G23"/>
  <c r="T22"/>
  <c r="R22"/>
  <c r="N22"/>
  <c r="M22"/>
  <c r="K22"/>
  <c r="I22"/>
  <c r="G22"/>
  <c r="T21"/>
  <c r="R21"/>
  <c r="N21"/>
  <c r="M21"/>
  <c r="K21"/>
  <c r="I21"/>
  <c r="G21"/>
  <c r="T20"/>
  <c r="R20"/>
  <c r="N20"/>
  <c r="M20"/>
  <c r="K20"/>
  <c r="I20"/>
  <c r="G20"/>
  <c r="T19"/>
  <c r="R19"/>
  <c r="N19"/>
  <c r="M19"/>
  <c r="K19"/>
  <c r="I19"/>
  <c r="G19"/>
  <c r="T18"/>
  <c r="R18"/>
  <c r="P18"/>
  <c r="N18"/>
  <c r="M18"/>
  <c r="K18"/>
  <c r="I18"/>
  <c r="G18"/>
  <c r="T17"/>
  <c r="R17"/>
  <c r="N17"/>
  <c r="M17"/>
  <c r="K17"/>
  <c r="I17"/>
  <c r="G17"/>
  <c r="E30"/>
  <c r="G30"/>
  <c r="I30"/>
  <c r="K30"/>
  <c r="M30"/>
  <c r="N30"/>
  <c r="O30"/>
  <c r="P30"/>
  <c r="R30"/>
  <c r="T30"/>
  <c r="G31"/>
  <c r="I31"/>
  <c r="K31"/>
  <c r="M31"/>
  <c r="N31"/>
  <c r="P31"/>
  <c r="R31"/>
  <c r="T31"/>
  <c r="E32"/>
  <c r="G32"/>
  <c r="I32"/>
  <c r="K32"/>
  <c r="M32"/>
  <c r="N32"/>
  <c r="O32"/>
  <c r="P32"/>
  <c r="R32"/>
  <c r="T32"/>
  <c r="E33"/>
  <c r="G33"/>
  <c r="I33"/>
  <c r="K33"/>
  <c r="M33"/>
  <c r="N33"/>
  <c r="O33"/>
  <c r="P33"/>
  <c r="R33"/>
  <c r="T33"/>
  <c r="G34"/>
  <c r="I34"/>
  <c r="K34"/>
  <c r="M34"/>
  <c r="N34"/>
  <c r="R34"/>
  <c r="T34"/>
  <c r="G35"/>
  <c r="I35"/>
  <c r="K35"/>
  <c r="M35"/>
  <c r="N35"/>
  <c r="R35"/>
  <c r="T35"/>
  <c r="G36"/>
  <c r="I36"/>
  <c r="K36"/>
  <c r="M36"/>
  <c r="N36"/>
  <c r="R36"/>
  <c r="T36"/>
  <c r="G37"/>
  <c r="I37"/>
  <c r="K37"/>
  <c r="M37"/>
  <c r="N37"/>
  <c r="R37"/>
  <c r="T37"/>
  <c r="D38"/>
  <c r="F38"/>
  <c r="N38"/>
  <c r="H38"/>
  <c r="J38"/>
  <c r="Q38"/>
  <c r="R38"/>
  <c r="S38"/>
  <c r="P43" i="16"/>
  <c r="P31"/>
  <c r="P34" i="14"/>
  <c r="P36" i="5"/>
  <c r="P34"/>
  <c r="P33"/>
  <c r="P32"/>
  <c r="P31"/>
  <c r="P37" i="16"/>
  <c r="P36"/>
  <c r="P35"/>
  <c r="P34"/>
  <c r="P33"/>
  <c r="P32"/>
  <c r="P32" i="1"/>
  <c r="P31"/>
  <c r="Q31"/>
  <c r="Q35" i="14"/>
  <c r="R35"/>
  <c r="P35"/>
  <c r="Q34"/>
  <c r="R34"/>
  <c r="Q33"/>
  <c r="R33"/>
  <c r="Q32"/>
  <c r="R32"/>
  <c r="Q31"/>
  <c r="R31"/>
  <c r="Q31" i="5"/>
  <c r="R31"/>
  <c r="Y38" i="16"/>
  <c r="X38"/>
  <c r="Y37"/>
  <c r="Q37"/>
  <c r="R37"/>
  <c r="X34"/>
  <c r="X35"/>
  <c r="X36"/>
  <c r="Y36"/>
  <c r="Q36"/>
  <c r="R36"/>
  <c r="Y35"/>
  <c r="Q35"/>
  <c r="R35"/>
  <c r="Y34"/>
  <c r="Q34"/>
  <c r="R34"/>
  <c r="X33"/>
  <c r="Y33"/>
  <c r="X32"/>
  <c r="Y32"/>
  <c r="Q32"/>
  <c r="R32"/>
  <c r="X31"/>
  <c r="Y31"/>
  <c r="Q31"/>
  <c r="R31"/>
  <c r="AB51"/>
  <c r="AC51"/>
  <c r="AB39"/>
  <c r="U51" i="4"/>
  <c r="V50"/>
  <c r="V49"/>
  <c r="V48"/>
  <c r="V47"/>
  <c r="V46"/>
  <c r="V45"/>
  <c r="V44"/>
  <c r="V43"/>
  <c r="U39"/>
  <c r="V38"/>
  <c r="V37"/>
  <c r="V36"/>
  <c r="V35"/>
  <c r="V34"/>
  <c r="V33"/>
  <c r="V32"/>
  <c r="V31"/>
  <c r="U51" i="5"/>
  <c r="V51"/>
  <c r="V50"/>
  <c r="V49"/>
  <c r="V48"/>
  <c r="V47"/>
  <c r="V46"/>
  <c r="V45"/>
  <c r="V44"/>
  <c r="V43"/>
  <c r="U39"/>
  <c r="V38"/>
  <c r="V37"/>
  <c r="V36"/>
  <c r="V35"/>
  <c r="V34"/>
  <c r="V33"/>
  <c r="V32"/>
  <c r="V31"/>
  <c r="S51" i="15"/>
  <c r="T50"/>
  <c r="T49"/>
  <c r="T48"/>
  <c r="T47"/>
  <c r="T46"/>
  <c r="T45"/>
  <c r="T44"/>
  <c r="T43"/>
  <c r="S39"/>
  <c r="T38"/>
  <c r="T37"/>
  <c r="T36"/>
  <c r="T35"/>
  <c r="T34"/>
  <c r="T33"/>
  <c r="T32"/>
  <c r="T31"/>
  <c r="S51" i="8"/>
  <c r="T51"/>
  <c r="T50"/>
  <c r="T49"/>
  <c r="T48"/>
  <c r="T47"/>
  <c r="T46"/>
  <c r="T45"/>
  <c r="T44"/>
  <c r="T43"/>
  <c r="S39"/>
  <c r="T39"/>
  <c r="T38"/>
  <c r="T37"/>
  <c r="T36"/>
  <c r="T35"/>
  <c r="T34"/>
  <c r="T33"/>
  <c r="T32"/>
  <c r="T31"/>
  <c r="S51" i="9"/>
  <c r="T50"/>
  <c r="T49"/>
  <c r="T48"/>
  <c r="T47"/>
  <c r="T46"/>
  <c r="T45"/>
  <c r="T44"/>
  <c r="T43"/>
  <c r="S39"/>
  <c r="T39"/>
  <c r="T38"/>
  <c r="T37"/>
  <c r="T36"/>
  <c r="T35"/>
  <c r="T34"/>
  <c r="T33"/>
  <c r="T32"/>
  <c r="T31"/>
  <c r="S50" i="11"/>
  <c r="Q50"/>
  <c r="T49"/>
  <c r="R49"/>
  <c r="T48"/>
  <c r="R48"/>
  <c r="T47"/>
  <c r="R47"/>
  <c r="T46"/>
  <c r="R46"/>
  <c r="T45"/>
  <c r="R45"/>
  <c r="T44"/>
  <c r="R44"/>
  <c r="T43"/>
  <c r="R43"/>
  <c r="T42"/>
  <c r="R42"/>
  <c r="E31" i="1"/>
  <c r="E31" i="16"/>
  <c r="E31" i="4"/>
  <c r="E31" i="5"/>
  <c r="E31" i="15"/>
  <c r="E31" i="8"/>
  <c r="E31" i="14"/>
  <c r="E31" i="9"/>
  <c r="E31" i="10"/>
  <c r="Q38" i="16"/>
  <c r="R38"/>
  <c r="X37"/>
  <c r="E38"/>
  <c r="E37"/>
  <c r="E36"/>
  <c r="E35"/>
  <c r="E34"/>
  <c r="Q33"/>
  <c r="R33"/>
  <c r="E33"/>
  <c r="E32"/>
  <c r="Z39"/>
  <c r="AA39"/>
  <c r="L39"/>
  <c r="J39"/>
  <c r="H39"/>
  <c r="F39"/>
  <c r="D39"/>
  <c r="Y39"/>
  <c r="AA38"/>
  <c r="P38"/>
  <c r="M38"/>
  <c r="K38"/>
  <c r="I38"/>
  <c r="G38"/>
  <c r="AC38"/>
  <c r="AA37"/>
  <c r="M37"/>
  <c r="K37"/>
  <c r="I37"/>
  <c r="G37"/>
  <c r="AC37"/>
  <c r="AA36"/>
  <c r="M36"/>
  <c r="K36"/>
  <c r="I36"/>
  <c r="G36"/>
  <c r="AC36"/>
  <c r="AA35"/>
  <c r="M35"/>
  <c r="K35"/>
  <c r="I35"/>
  <c r="G35"/>
  <c r="AC35"/>
  <c r="AA34"/>
  <c r="M34"/>
  <c r="K34"/>
  <c r="I34"/>
  <c r="G34"/>
  <c r="AC34"/>
  <c r="AA33"/>
  <c r="M33"/>
  <c r="K33"/>
  <c r="I33"/>
  <c r="G33"/>
  <c r="AC33"/>
  <c r="AA32"/>
  <c r="M32"/>
  <c r="K32"/>
  <c r="I32"/>
  <c r="G32"/>
  <c r="AC32"/>
  <c r="AA31"/>
  <c r="M31"/>
  <c r="K31"/>
  <c r="I31"/>
  <c r="G31"/>
  <c r="AC31"/>
  <c r="Z51"/>
  <c r="L51"/>
  <c r="J51"/>
  <c r="H51"/>
  <c r="F51"/>
  <c r="D51"/>
  <c r="Y51"/>
  <c r="AA50"/>
  <c r="Y50"/>
  <c r="X50"/>
  <c r="Q50"/>
  <c r="R50"/>
  <c r="P50"/>
  <c r="M50"/>
  <c r="K50"/>
  <c r="I50"/>
  <c r="G50"/>
  <c r="AC50"/>
  <c r="E50"/>
  <c r="AA49"/>
  <c r="Y49"/>
  <c r="X49"/>
  <c r="Q49"/>
  <c r="R49"/>
  <c r="P49"/>
  <c r="M49"/>
  <c r="K49"/>
  <c r="I49"/>
  <c r="G49"/>
  <c r="AC49"/>
  <c r="E49"/>
  <c r="AA48"/>
  <c r="Y48"/>
  <c r="X48"/>
  <c r="Q48"/>
  <c r="R48"/>
  <c r="P48"/>
  <c r="M48"/>
  <c r="K48"/>
  <c r="I48"/>
  <c r="G48"/>
  <c r="AC48"/>
  <c r="E48"/>
  <c r="AA47"/>
  <c r="Y47"/>
  <c r="X47"/>
  <c r="Q47"/>
  <c r="R47"/>
  <c r="P47"/>
  <c r="M47"/>
  <c r="K47"/>
  <c r="I47"/>
  <c r="G47"/>
  <c r="AC47"/>
  <c r="E47"/>
  <c r="AA46"/>
  <c r="Y46"/>
  <c r="X46"/>
  <c r="Q46"/>
  <c r="R46"/>
  <c r="P46"/>
  <c r="M46"/>
  <c r="K46"/>
  <c r="I46"/>
  <c r="G46"/>
  <c r="AC46"/>
  <c r="E46"/>
  <c r="AA45"/>
  <c r="Y45"/>
  <c r="X45"/>
  <c r="Q45"/>
  <c r="R45"/>
  <c r="P45"/>
  <c r="M45"/>
  <c r="K45"/>
  <c r="I45"/>
  <c r="G45"/>
  <c r="AC45"/>
  <c r="E45"/>
  <c r="AA44"/>
  <c r="Y44"/>
  <c r="X44"/>
  <c r="Q44"/>
  <c r="R44"/>
  <c r="P44"/>
  <c r="M44"/>
  <c r="K44"/>
  <c r="I44"/>
  <c r="G44"/>
  <c r="AC44"/>
  <c r="E44"/>
  <c r="AA43"/>
  <c r="Y43"/>
  <c r="X43"/>
  <c r="Q43"/>
  <c r="R43"/>
  <c r="M43"/>
  <c r="K43"/>
  <c r="I43"/>
  <c r="G43"/>
  <c r="AC43"/>
  <c r="E43"/>
  <c r="E34" i="8"/>
  <c r="E33"/>
  <c r="E32"/>
  <c r="O34"/>
  <c r="P34"/>
  <c r="O33"/>
  <c r="P33"/>
  <c r="O32"/>
  <c r="P32"/>
  <c r="O31"/>
  <c r="P31"/>
  <c r="Q39"/>
  <c r="J39"/>
  <c r="H39"/>
  <c r="F39"/>
  <c r="D39"/>
  <c r="O39"/>
  <c r="R38"/>
  <c r="N38"/>
  <c r="M38"/>
  <c r="K38"/>
  <c r="I38"/>
  <c r="G38"/>
  <c r="E38"/>
  <c r="R37"/>
  <c r="N37"/>
  <c r="M37"/>
  <c r="K37"/>
  <c r="I37"/>
  <c r="G37"/>
  <c r="R36"/>
  <c r="N36"/>
  <c r="M36"/>
  <c r="K36"/>
  <c r="I36"/>
  <c r="G36"/>
  <c r="R35"/>
  <c r="N35"/>
  <c r="M35"/>
  <c r="K35"/>
  <c r="I35"/>
  <c r="G35"/>
  <c r="R34"/>
  <c r="N34"/>
  <c r="M34"/>
  <c r="K34"/>
  <c r="I34"/>
  <c r="G34"/>
  <c r="R33"/>
  <c r="N33"/>
  <c r="M33"/>
  <c r="K33"/>
  <c r="I33"/>
  <c r="G33"/>
  <c r="R32"/>
  <c r="N32"/>
  <c r="M32"/>
  <c r="K32"/>
  <c r="I32"/>
  <c r="G32"/>
  <c r="R31"/>
  <c r="N31"/>
  <c r="M31"/>
  <c r="K31"/>
  <c r="I31"/>
  <c r="G31"/>
  <c r="Q38" i="5"/>
  <c r="R38"/>
  <c r="Q37"/>
  <c r="R37"/>
  <c r="P37"/>
  <c r="Q36"/>
  <c r="R36"/>
  <c r="Q35"/>
  <c r="R35"/>
  <c r="Q34"/>
  <c r="R34"/>
  <c r="Q33"/>
  <c r="R33"/>
  <c r="Q32"/>
  <c r="R32"/>
  <c r="Q36" i="14"/>
  <c r="R36"/>
  <c r="E34"/>
  <c r="E33"/>
  <c r="E32"/>
  <c r="P31"/>
  <c r="U39"/>
  <c r="V39"/>
  <c r="S39"/>
  <c r="T39"/>
  <c r="L39"/>
  <c r="J39"/>
  <c r="K39"/>
  <c r="H39"/>
  <c r="I39"/>
  <c r="F39"/>
  <c r="D39"/>
  <c r="E39"/>
  <c r="Q39"/>
  <c r="V38"/>
  <c r="T38"/>
  <c r="P38"/>
  <c r="M38"/>
  <c r="K38"/>
  <c r="I38"/>
  <c r="G38"/>
  <c r="E38"/>
  <c r="V37"/>
  <c r="T37"/>
  <c r="P37"/>
  <c r="M37"/>
  <c r="K37"/>
  <c r="I37"/>
  <c r="G37"/>
  <c r="V36"/>
  <c r="T36"/>
  <c r="P36"/>
  <c r="M36"/>
  <c r="K36"/>
  <c r="I36"/>
  <c r="G36"/>
  <c r="E36"/>
  <c r="V35"/>
  <c r="T35"/>
  <c r="M35"/>
  <c r="K35"/>
  <c r="I35"/>
  <c r="G35"/>
  <c r="E35"/>
  <c r="V34"/>
  <c r="T34"/>
  <c r="M34"/>
  <c r="K34"/>
  <c r="I34"/>
  <c r="G34"/>
  <c r="V33"/>
  <c r="T33"/>
  <c r="P33"/>
  <c r="M33"/>
  <c r="K33"/>
  <c r="I33"/>
  <c r="G33"/>
  <c r="V32"/>
  <c r="T32"/>
  <c r="P32"/>
  <c r="M32"/>
  <c r="K32"/>
  <c r="I32"/>
  <c r="G32"/>
  <c r="V31"/>
  <c r="T31"/>
  <c r="M31"/>
  <c r="K31"/>
  <c r="I31"/>
  <c r="G31"/>
  <c r="R39" i="4"/>
  <c r="D39"/>
  <c r="Q34"/>
  <c r="R34"/>
  <c r="Q33"/>
  <c r="R33"/>
  <c r="Q32"/>
  <c r="R32"/>
  <c r="Q31"/>
  <c r="R31"/>
  <c r="E38"/>
  <c r="E37"/>
  <c r="E36"/>
  <c r="E35"/>
  <c r="E34"/>
  <c r="E33"/>
  <c r="E32"/>
  <c r="S39"/>
  <c r="T39"/>
  <c r="L39"/>
  <c r="M39"/>
  <c r="J39"/>
  <c r="K39"/>
  <c r="H39"/>
  <c r="I39"/>
  <c r="F39"/>
  <c r="G39"/>
  <c r="T38"/>
  <c r="M38"/>
  <c r="K38"/>
  <c r="I38"/>
  <c r="G38"/>
  <c r="T37"/>
  <c r="M37"/>
  <c r="K37"/>
  <c r="I37"/>
  <c r="G37"/>
  <c r="T36"/>
  <c r="M36"/>
  <c r="K36"/>
  <c r="I36"/>
  <c r="G36"/>
  <c r="T35"/>
  <c r="M35"/>
  <c r="K35"/>
  <c r="I35"/>
  <c r="G35"/>
  <c r="T34"/>
  <c r="P34"/>
  <c r="M34"/>
  <c r="K34"/>
  <c r="I34"/>
  <c r="G34"/>
  <c r="T33"/>
  <c r="P33"/>
  <c r="M33"/>
  <c r="K33"/>
  <c r="I33"/>
  <c r="G33"/>
  <c r="T32"/>
  <c r="P32"/>
  <c r="M32"/>
  <c r="K32"/>
  <c r="I32"/>
  <c r="G32"/>
  <c r="T31"/>
  <c r="P31"/>
  <c r="M31"/>
  <c r="K31"/>
  <c r="I31"/>
  <c r="G31"/>
  <c r="O37" i="15"/>
  <c r="P37"/>
  <c r="O36"/>
  <c r="N32"/>
  <c r="N33"/>
  <c r="N34"/>
  <c r="N35"/>
  <c r="N36"/>
  <c r="N37"/>
  <c r="N38"/>
  <c r="P35"/>
  <c r="P36"/>
  <c r="P38"/>
  <c r="O34"/>
  <c r="P34"/>
  <c r="O33"/>
  <c r="P33"/>
  <c r="E38"/>
  <c r="E37"/>
  <c r="E36"/>
  <c r="E35"/>
  <c r="E34"/>
  <c r="E33"/>
  <c r="E32"/>
  <c r="O31"/>
  <c r="P31"/>
  <c r="Q39"/>
  <c r="R39"/>
  <c r="L39"/>
  <c r="J39"/>
  <c r="H39"/>
  <c r="N39"/>
  <c r="I39"/>
  <c r="F39"/>
  <c r="D39"/>
  <c r="K39"/>
  <c r="R38"/>
  <c r="M38"/>
  <c r="K38"/>
  <c r="I38"/>
  <c r="G38"/>
  <c r="R37"/>
  <c r="M37"/>
  <c r="K37"/>
  <c r="I37"/>
  <c r="G37"/>
  <c r="R36"/>
  <c r="M36"/>
  <c r="K36"/>
  <c r="I36"/>
  <c r="G36"/>
  <c r="R35"/>
  <c r="M35"/>
  <c r="K35"/>
  <c r="I35"/>
  <c r="G35"/>
  <c r="R34"/>
  <c r="M34"/>
  <c r="K34"/>
  <c r="I34"/>
  <c r="G34"/>
  <c r="R33"/>
  <c r="M33"/>
  <c r="K33"/>
  <c r="I33"/>
  <c r="G33"/>
  <c r="R32"/>
  <c r="O32"/>
  <c r="P32"/>
  <c r="M32"/>
  <c r="K32"/>
  <c r="I32"/>
  <c r="G32"/>
  <c r="R31"/>
  <c r="N31"/>
  <c r="M31"/>
  <c r="K31"/>
  <c r="I31"/>
  <c r="G31"/>
  <c r="E38" i="5"/>
  <c r="E37"/>
  <c r="E36"/>
  <c r="E35"/>
  <c r="E34"/>
  <c r="E33"/>
  <c r="E32"/>
  <c r="S39"/>
  <c r="L39"/>
  <c r="J39"/>
  <c r="K39"/>
  <c r="H39"/>
  <c r="F39"/>
  <c r="D39"/>
  <c r="R39"/>
  <c r="T39"/>
  <c r="T38"/>
  <c r="P38"/>
  <c r="M38"/>
  <c r="K38"/>
  <c r="I38"/>
  <c r="G38"/>
  <c r="T37"/>
  <c r="M37"/>
  <c r="K37"/>
  <c r="I37"/>
  <c r="G37"/>
  <c r="T36"/>
  <c r="M36"/>
  <c r="K36"/>
  <c r="I36"/>
  <c r="G36"/>
  <c r="T35"/>
  <c r="M35"/>
  <c r="K35"/>
  <c r="I35"/>
  <c r="G35"/>
  <c r="T34"/>
  <c r="M34"/>
  <c r="K34"/>
  <c r="I34"/>
  <c r="G34"/>
  <c r="T33"/>
  <c r="M33"/>
  <c r="K33"/>
  <c r="I33"/>
  <c r="G33"/>
  <c r="T32"/>
  <c r="M32"/>
  <c r="K32"/>
  <c r="I32"/>
  <c r="G32"/>
  <c r="T31"/>
  <c r="M31"/>
  <c r="K31"/>
  <c r="I31"/>
  <c r="G31"/>
  <c r="O38" i="9"/>
  <c r="O37"/>
  <c r="P37"/>
  <c r="Q39"/>
  <c r="O36"/>
  <c r="P36"/>
  <c r="O35"/>
  <c r="P35"/>
  <c r="O34"/>
  <c r="P34"/>
  <c r="O33"/>
  <c r="P33"/>
  <c r="O32"/>
  <c r="P32"/>
  <c r="O31"/>
  <c r="P31"/>
  <c r="E38"/>
  <c r="E37"/>
  <c r="E36"/>
  <c r="E35"/>
  <c r="E34"/>
  <c r="E33"/>
  <c r="E32"/>
  <c r="L39"/>
  <c r="J39"/>
  <c r="H39"/>
  <c r="I39"/>
  <c r="F39"/>
  <c r="D39"/>
  <c r="R38"/>
  <c r="N38"/>
  <c r="K38"/>
  <c r="I38"/>
  <c r="G38"/>
  <c r="R37"/>
  <c r="N37"/>
  <c r="K37"/>
  <c r="I37"/>
  <c r="G37"/>
  <c r="R36"/>
  <c r="N36"/>
  <c r="M36"/>
  <c r="K36"/>
  <c r="I36"/>
  <c r="G36"/>
  <c r="R35"/>
  <c r="N35"/>
  <c r="K35"/>
  <c r="I35"/>
  <c r="G35"/>
  <c r="R34"/>
  <c r="N34"/>
  <c r="M34"/>
  <c r="K34"/>
  <c r="I34"/>
  <c r="G34"/>
  <c r="R33"/>
  <c r="N33"/>
  <c r="M33"/>
  <c r="K33"/>
  <c r="I33"/>
  <c r="G33"/>
  <c r="R32"/>
  <c r="N32"/>
  <c r="K32"/>
  <c r="I32"/>
  <c r="G32"/>
  <c r="R31"/>
  <c r="N31"/>
  <c r="K31"/>
  <c r="I31"/>
  <c r="G31"/>
  <c r="O36" i="10"/>
  <c r="P36"/>
  <c r="N32"/>
  <c r="N33"/>
  <c r="N34"/>
  <c r="N35"/>
  <c r="N36"/>
  <c r="N37"/>
  <c r="N38"/>
  <c r="E36"/>
  <c r="O34"/>
  <c r="P34"/>
  <c r="E34"/>
  <c r="O33"/>
  <c r="P33"/>
  <c r="E33"/>
  <c r="E32"/>
  <c r="O31"/>
  <c r="P31"/>
  <c r="D39"/>
  <c r="O39"/>
  <c r="S39"/>
  <c r="Q39"/>
  <c r="J39"/>
  <c r="H39"/>
  <c r="F39"/>
  <c r="T38"/>
  <c r="R38"/>
  <c r="P38"/>
  <c r="M38"/>
  <c r="K38"/>
  <c r="I38"/>
  <c r="G38"/>
  <c r="T37"/>
  <c r="R37"/>
  <c r="P37"/>
  <c r="M37"/>
  <c r="K37"/>
  <c r="I37"/>
  <c r="G37"/>
  <c r="T36"/>
  <c r="R36"/>
  <c r="M36"/>
  <c r="K36"/>
  <c r="I36"/>
  <c r="G36"/>
  <c r="T35"/>
  <c r="R35"/>
  <c r="P35"/>
  <c r="M35"/>
  <c r="K35"/>
  <c r="I35"/>
  <c r="G35"/>
  <c r="T34"/>
  <c r="R34"/>
  <c r="M34"/>
  <c r="K34"/>
  <c r="I34"/>
  <c r="G34"/>
  <c r="T33"/>
  <c r="R33"/>
  <c r="M33"/>
  <c r="K33"/>
  <c r="I33"/>
  <c r="G33"/>
  <c r="T32"/>
  <c r="R32"/>
  <c r="P32"/>
  <c r="M32"/>
  <c r="K32"/>
  <c r="I32"/>
  <c r="G32"/>
  <c r="T31"/>
  <c r="R31"/>
  <c r="N31"/>
  <c r="M31"/>
  <c r="K31"/>
  <c r="I31"/>
  <c r="G31"/>
  <c r="P33" i="1"/>
  <c r="P34"/>
  <c r="P35"/>
  <c r="P36"/>
  <c r="P37"/>
  <c r="P38"/>
  <c r="D39"/>
  <c r="R39"/>
  <c r="Q38"/>
  <c r="R38"/>
  <c r="Q37"/>
  <c r="R37"/>
  <c r="Q36"/>
  <c r="R36"/>
  <c r="Q35"/>
  <c r="R35"/>
  <c r="Q34"/>
  <c r="R34"/>
  <c r="Q33"/>
  <c r="R33"/>
  <c r="Q32"/>
  <c r="R32"/>
  <c r="E38"/>
  <c r="E37"/>
  <c r="E36"/>
  <c r="E35"/>
  <c r="E34"/>
  <c r="E33"/>
  <c r="E32"/>
  <c r="Y39"/>
  <c r="Z39"/>
  <c r="W39"/>
  <c r="X39"/>
  <c r="L39"/>
  <c r="M39"/>
  <c r="J39"/>
  <c r="K39"/>
  <c r="H39"/>
  <c r="F39"/>
  <c r="G39"/>
  <c r="Z38"/>
  <c r="X38"/>
  <c r="M38"/>
  <c r="K38"/>
  <c r="I38"/>
  <c r="G38"/>
  <c r="Z37"/>
  <c r="X37"/>
  <c r="M37"/>
  <c r="K37"/>
  <c r="I37"/>
  <c r="G37"/>
  <c r="Z36"/>
  <c r="X36"/>
  <c r="M36"/>
  <c r="K36"/>
  <c r="I36"/>
  <c r="G36"/>
  <c r="Z35"/>
  <c r="X35"/>
  <c r="M35"/>
  <c r="K35"/>
  <c r="I35"/>
  <c r="G35"/>
  <c r="Z34"/>
  <c r="X34"/>
  <c r="M34"/>
  <c r="K34"/>
  <c r="I34"/>
  <c r="G34"/>
  <c r="Z33"/>
  <c r="X33"/>
  <c r="M33"/>
  <c r="K33"/>
  <c r="I33"/>
  <c r="G33"/>
  <c r="Z32"/>
  <c r="X32"/>
  <c r="M32"/>
  <c r="K32"/>
  <c r="I32"/>
  <c r="G32"/>
  <c r="Z31"/>
  <c r="X31"/>
  <c r="R31"/>
  <c r="M31"/>
  <c r="K31"/>
  <c r="I31"/>
  <c r="G31"/>
  <c r="E43"/>
  <c r="G43"/>
  <c r="I43"/>
  <c r="K43"/>
  <c r="M43"/>
  <c r="P43"/>
  <c r="Q43"/>
  <c r="R43"/>
  <c r="X43"/>
  <c r="Z43"/>
  <c r="E44"/>
  <c r="G44"/>
  <c r="I44"/>
  <c r="K44"/>
  <c r="M44"/>
  <c r="P44"/>
  <c r="Q44"/>
  <c r="R44"/>
  <c r="X44"/>
  <c r="Z44"/>
  <c r="E45"/>
  <c r="G45"/>
  <c r="I45"/>
  <c r="K45"/>
  <c r="M45"/>
  <c r="P45"/>
  <c r="Q45"/>
  <c r="R45"/>
  <c r="X45"/>
  <c r="Z45"/>
  <c r="E46"/>
  <c r="G46"/>
  <c r="I46"/>
  <c r="K46"/>
  <c r="M46"/>
  <c r="P46"/>
  <c r="Q46"/>
  <c r="R46"/>
  <c r="X46"/>
  <c r="Z46"/>
  <c r="E47"/>
  <c r="G47"/>
  <c r="I47"/>
  <c r="K47"/>
  <c r="M47"/>
  <c r="P47"/>
  <c r="Q47"/>
  <c r="R47"/>
  <c r="X47"/>
  <c r="Z47"/>
  <c r="E48"/>
  <c r="G48"/>
  <c r="I48"/>
  <c r="K48"/>
  <c r="M48"/>
  <c r="P48"/>
  <c r="Q48"/>
  <c r="R48"/>
  <c r="X48"/>
  <c r="Z48"/>
  <c r="E49"/>
  <c r="G49"/>
  <c r="I49"/>
  <c r="K49"/>
  <c r="M49"/>
  <c r="P49"/>
  <c r="Q49"/>
  <c r="R49"/>
  <c r="X49"/>
  <c r="Z49"/>
  <c r="E50"/>
  <c r="G50"/>
  <c r="I50"/>
  <c r="K50"/>
  <c r="M50"/>
  <c r="P50"/>
  <c r="Q50"/>
  <c r="R50"/>
  <c r="X50"/>
  <c r="Z50"/>
  <c r="D51"/>
  <c r="F51"/>
  <c r="G51"/>
  <c r="H51"/>
  <c r="I51"/>
  <c r="J51"/>
  <c r="K51"/>
  <c r="L51"/>
  <c r="M51"/>
  <c r="W51"/>
  <c r="X51"/>
  <c r="Y51"/>
  <c r="Z51"/>
  <c r="O51" i="15"/>
  <c r="L51" i="5"/>
  <c r="L51" i="9"/>
  <c r="J51"/>
  <c r="H51"/>
  <c r="F51"/>
  <c r="Q48" i="5"/>
  <c r="R48"/>
  <c r="P48"/>
  <c r="O44" i="15"/>
  <c r="P44"/>
  <c r="E43" i="4"/>
  <c r="E48" i="9"/>
  <c r="E43" i="14"/>
  <c r="O47" i="9"/>
  <c r="P47"/>
  <c r="Q47" i="5"/>
  <c r="R47"/>
  <c r="Q46"/>
  <c r="R46"/>
  <c r="Q45"/>
  <c r="R45"/>
  <c r="Q48" i="14"/>
  <c r="R48"/>
  <c r="E48"/>
  <c r="Q46"/>
  <c r="R46"/>
  <c r="Q45"/>
  <c r="R45"/>
  <c r="Q44"/>
  <c r="R44"/>
  <c r="R43"/>
  <c r="O44" i="8"/>
  <c r="P44"/>
  <c r="O45"/>
  <c r="P45"/>
  <c r="O46" i="15"/>
  <c r="P46"/>
  <c r="O43"/>
  <c r="P43"/>
  <c r="O45" i="13"/>
  <c r="P45"/>
  <c r="P48" i="14"/>
  <c r="P49"/>
  <c r="P50"/>
  <c r="Q47"/>
  <c r="R47"/>
  <c r="P47"/>
  <c r="E47"/>
  <c r="P46"/>
  <c r="E46"/>
  <c r="E45"/>
  <c r="P45"/>
  <c r="P44"/>
  <c r="E44"/>
  <c r="Q50" i="5"/>
  <c r="R50"/>
  <c r="P50"/>
  <c r="E50"/>
  <c r="Q49"/>
  <c r="R49"/>
  <c r="E49"/>
  <c r="E48"/>
  <c r="E47"/>
  <c r="P46"/>
  <c r="P45"/>
  <c r="E45"/>
  <c r="Q44"/>
  <c r="R44"/>
  <c r="P44"/>
  <c r="Q43"/>
  <c r="R43"/>
  <c r="P43"/>
  <c r="E43"/>
  <c r="N44" i="8"/>
  <c r="N45"/>
  <c r="N46"/>
  <c r="N47"/>
  <c r="N48"/>
  <c r="N49"/>
  <c r="N50"/>
  <c r="O46"/>
  <c r="P46"/>
  <c r="E45"/>
  <c r="E44"/>
  <c r="O43"/>
  <c r="P43"/>
  <c r="N43"/>
  <c r="E43"/>
  <c r="N44" i="9"/>
  <c r="N45"/>
  <c r="N46"/>
  <c r="N47"/>
  <c r="N48"/>
  <c r="N49"/>
  <c r="N50"/>
  <c r="O50"/>
  <c r="E50"/>
  <c r="O49"/>
  <c r="P49"/>
  <c r="E49"/>
  <c r="R50"/>
  <c r="R49"/>
  <c r="R48"/>
  <c r="R47"/>
  <c r="R46"/>
  <c r="R45"/>
  <c r="R44"/>
  <c r="R43"/>
  <c r="S51" i="4"/>
  <c r="T50"/>
  <c r="T49"/>
  <c r="T48"/>
  <c r="T47"/>
  <c r="T46"/>
  <c r="T45"/>
  <c r="T44"/>
  <c r="T43"/>
  <c r="N48" i="13"/>
  <c r="N49"/>
  <c r="N50"/>
  <c r="N51"/>
  <c r="O52"/>
  <c r="O45" i="15"/>
  <c r="P45"/>
  <c r="N46"/>
  <c r="N45"/>
  <c r="N44"/>
  <c r="E50"/>
  <c r="E49"/>
  <c r="E48"/>
  <c r="E46"/>
  <c r="E45"/>
  <c r="E44"/>
  <c r="E43"/>
  <c r="N43"/>
  <c r="P44" i="13"/>
  <c r="P46"/>
  <c r="P47"/>
  <c r="P48"/>
  <c r="P49"/>
  <c r="P50"/>
  <c r="P51"/>
  <c r="R51" i="4"/>
  <c r="Q46"/>
  <c r="R46"/>
  <c r="P46"/>
  <c r="Q45"/>
  <c r="R45"/>
  <c r="P45"/>
  <c r="Q44"/>
  <c r="R44"/>
  <c r="P44"/>
  <c r="Q43"/>
  <c r="R43"/>
  <c r="P43"/>
  <c r="O46" i="9"/>
  <c r="P46"/>
  <c r="O45"/>
  <c r="P45"/>
  <c r="O44"/>
  <c r="P44"/>
  <c r="O43"/>
  <c r="P43"/>
  <c r="N43"/>
  <c r="E47"/>
  <c r="E46"/>
  <c r="E45"/>
  <c r="E44"/>
  <c r="E43"/>
  <c r="O46" i="10"/>
  <c r="P46"/>
  <c r="N46"/>
  <c r="O45"/>
  <c r="P45"/>
  <c r="N45"/>
  <c r="N44"/>
  <c r="O43"/>
  <c r="P43"/>
  <c r="N43"/>
  <c r="E46"/>
  <c r="E45"/>
  <c r="E44"/>
  <c r="E43"/>
  <c r="N47" i="13"/>
  <c r="N45" i="11"/>
  <c r="N46" i="13"/>
  <c r="N44" i="11"/>
  <c r="N45" i="13"/>
  <c r="N43" i="11"/>
  <c r="N44" i="13"/>
  <c r="E47"/>
  <c r="E46"/>
  <c r="E45"/>
  <c r="E44"/>
  <c r="O42" i="11"/>
  <c r="P42"/>
  <c r="O45"/>
  <c r="I43"/>
  <c r="I44"/>
  <c r="I45"/>
  <c r="I46"/>
  <c r="I47"/>
  <c r="I48"/>
  <c r="I49"/>
  <c r="N46"/>
  <c r="N47"/>
  <c r="N48"/>
  <c r="N49"/>
  <c r="P45"/>
  <c r="E45"/>
  <c r="E42"/>
  <c r="L51" i="15"/>
  <c r="J51"/>
  <c r="H51"/>
  <c r="N51"/>
  <c r="F51"/>
  <c r="D51"/>
  <c r="T51"/>
  <c r="E51"/>
  <c r="R50"/>
  <c r="M50"/>
  <c r="K50"/>
  <c r="I50"/>
  <c r="G50"/>
  <c r="R49"/>
  <c r="M49"/>
  <c r="K49"/>
  <c r="I49"/>
  <c r="G49"/>
  <c r="R48"/>
  <c r="M48"/>
  <c r="K48"/>
  <c r="I48"/>
  <c r="G48"/>
  <c r="R47"/>
  <c r="M47"/>
  <c r="K47"/>
  <c r="I47"/>
  <c r="G47"/>
  <c r="R46"/>
  <c r="M46"/>
  <c r="K46"/>
  <c r="I46"/>
  <c r="G46"/>
  <c r="R45"/>
  <c r="M45"/>
  <c r="K45"/>
  <c r="I45"/>
  <c r="G45"/>
  <c r="R44"/>
  <c r="M44"/>
  <c r="K44"/>
  <c r="I44"/>
  <c r="G44"/>
  <c r="M43"/>
  <c r="K43"/>
  <c r="I43"/>
  <c r="G43"/>
  <c r="D51" i="5"/>
  <c r="R51"/>
  <c r="E46"/>
  <c r="E44"/>
  <c r="D51" i="9"/>
  <c r="T51"/>
  <c r="I46"/>
  <c r="S51" i="14"/>
  <c r="L51"/>
  <c r="J51"/>
  <c r="K51"/>
  <c r="H51"/>
  <c r="F51"/>
  <c r="D51"/>
  <c r="T44"/>
  <c r="U51"/>
  <c r="V44"/>
  <c r="V45"/>
  <c r="V46"/>
  <c r="V47"/>
  <c r="V48"/>
  <c r="V49"/>
  <c r="V50"/>
  <c r="V43"/>
  <c r="T50"/>
  <c r="M50"/>
  <c r="K50"/>
  <c r="I50"/>
  <c r="G50"/>
  <c r="E50"/>
  <c r="T49"/>
  <c r="M49"/>
  <c r="K49"/>
  <c r="I49"/>
  <c r="G49"/>
  <c r="T48"/>
  <c r="M48"/>
  <c r="K48"/>
  <c r="I48"/>
  <c r="G48"/>
  <c r="T47"/>
  <c r="M47"/>
  <c r="K47"/>
  <c r="I47"/>
  <c r="G47"/>
  <c r="T46"/>
  <c r="M46"/>
  <c r="K46"/>
  <c r="I46"/>
  <c r="G46"/>
  <c r="T45"/>
  <c r="M45"/>
  <c r="K45"/>
  <c r="I45"/>
  <c r="G45"/>
  <c r="M44"/>
  <c r="K44"/>
  <c r="I44"/>
  <c r="G44"/>
  <c r="T43"/>
  <c r="M43"/>
  <c r="K43"/>
  <c r="I43"/>
  <c r="G43"/>
  <c r="D51" i="8"/>
  <c r="E50"/>
  <c r="S52" i="13"/>
  <c r="T52"/>
  <c r="Q52"/>
  <c r="J52"/>
  <c r="H52"/>
  <c r="N52"/>
  <c r="F52"/>
  <c r="G52"/>
  <c r="D52"/>
  <c r="M52"/>
  <c r="P52"/>
  <c r="T51"/>
  <c r="R51"/>
  <c r="M51"/>
  <c r="K51"/>
  <c r="I51"/>
  <c r="G51"/>
  <c r="T50"/>
  <c r="R50"/>
  <c r="M50"/>
  <c r="K50"/>
  <c r="I50"/>
  <c r="G50"/>
  <c r="T49"/>
  <c r="R49"/>
  <c r="M49"/>
  <c r="K49"/>
  <c r="I49"/>
  <c r="G49"/>
  <c r="T48"/>
  <c r="R48"/>
  <c r="M48"/>
  <c r="K48"/>
  <c r="I48"/>
  <c r="G48"/>
  <c r="T47"/>
  <c r="R47"/>
  <c r="M47"/>
  <c r="K47"/>
  <c r="I47"/>
  <c r="G47"/>
  <c r="T46"/>
  <c r="R46"/>
  <c r="M46"/>
  <c r="K46"/>
  <c r="I46"/>
  <c r="G46"/>
  <c r="T45"/>
  <c r="R45"/>
  <c r="M45"/>
  <c r="K45"/>
  <c r="I45"/>
  <c r="G45"/>
  <c r="T44"/>
  <c r="R44"/>
  <c r="M44"/>
  <c r="K44"/>
  <c r="I44"/>
  <c r="G44"/>
  <c r="S51" i="10"/>
  <c r="T51"/>
  <c r="T44"/>
  <c r="T45"/>
  <c r="T46"/>
  <c r="T47"/>
  <c r="T48"/>
  <c r="T49"/>
  <c r="T50"/>
  <c r="T43"/>
  <c r="Q51"/>
  <c r="R44"/>
  <c r="R45"/>
  <c r="R46"/>
  <c r="R47"/>
  <c r="R48"/>
  <c r="R49"/>
  <c r="R50"/>
  <c r="R43"/>
  <c r="J51"/>
  <c r="K51"/>
  <c r="H51"/>
  <c r="N51"/>
  <c r="I51"/>
  <c r="F51"/>
  <c r="D51"/>
  <c r="G51"/>
  <c r="I45"/>
  <c r="G45"/>
  <c r="K43" i="4"/>
  <c r="R44" i="8"/>
  <c r="Q51"/>
  <c r="R51"/>
  <c r="R43"/>
  <c r="R45"/>
  <c r="R46"/>
  <c r="R47"/>
  <c r="R48"/>
  <c r="R49"/>
  <c r="R50"/>
  <c r="T44" i="5"/>
  <c r="T45"/>
  <c r="T46"/>
  <c r="T47"/>
  <c r="T48"/>
  <c r="T49"/>
  <c r="T50"/>
  <c r="E50" i="4"/>
  <c r="E49"/>
  <c r="E48"/>
  <c r="E46"/>
  <c r="E45"/>
  <c r="E44"/>
  <c r="L51"/>
  <c r="H50" i="11"/>
  <c r="G49"/>
  <c r="G42"/>
  <c r="F50"/>
  <c r="E44"/>
  <c r="P44" i="10"/>
  <c r="P47"/>
  <c r="P48"/>
  <c r="P49"/>
  <c r="P50"/>
  <c r="H51" i="8"/>
  <c r="I51"/>
  <c r="F51"/>
  <c r="J51"/>
  <c r="K51"/>
  <c r="I45"/>
  <c r="E46"/>
  <c r="J51" i="5"/>
  <c r="H51"/>
  <c r="P51"/>
  <c r="I51"/>
  <c r="F51"/>
  <c r="J51" i="4"/>
  <c r="K51"/>
  <c r="H51"/>
  <c r="I51"/>
  <c r="F51"/>
  <c r="D50" i="11"/>
  <c r="O50"/>
  <c r="M49"/>
  <c r="K49"/>
  <c r="M48"/>
  <c r="K48"/>
  <c r="G48"/>
  <c r="M47"/>
  <c r="K47"/>
  <c r="G47"/>
  <c r="M46"/>
  <c r="K46"/>
  <c r="G46"/>
  <c r="M45"/>
  <c r="K45"/>
  <c r="G45"/>
  <c r="M44"/>
  <c r="K44"/>
  <c r="G44"/>
  <c r="M43"/>
  <c r="K43"/>
  <c r="G43"/>
  <c r="M42"/>
  <c r="K42"/>
  <c r="I42"/>
  <c r="M50" i="1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M44"/>
  <c r="K44"/>
  <c r="I44"/>
  <c r="G44"/>
  <c r="M43"/>
  <c r="K43"/>
  <c r="I43"/>
  <c r="G43"/>
  <c r="K50" i="9"/>
  <c r="I50"/>
  <c r="G50"/>
  <c r="K49"/>
  <c r="I49"/>
  <c r="G49"/>
  <c r="M48"/>
  <c r="K48"/>
  <c r="I48"/>
  <c r="G48"/>
  <c r="K47"/>
  <c r="I47"/>
  <c r="G47"/>
  <c r="M46"/>
  <c r="K46"/>
  <c r="G46"/>
  <c r="M45"/>
  <c r="K45"/>
  <c r="I45"/>
  <c r="G45"/>
  <c r="K44"/>
  <c r="I44"/>
  <c r="G44"/>
  <c r="K43"/>
  <c r="I43"/>
  <c r="G43"/>
  <c r="M50" i="8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G45"/>
  <c r="M44"/>
  <c r="K44"/>
  <c r="I44"/>
  <c r="G44"/>
  <c r="M43"/>
  <c r="K43"/>
  <c r="I43"/>
  <c r="G43"/>
  <c r="M50" i="5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D51" i="4"/>
  <c r="E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I43"/>
  <c r="G43"/>
  <c r="Q51" i="15"/>
  <c r="R51"/>
  <c r="R43"/>
  <c r="T43" i="5"/>
  <c r="S51"/>
  <c r="T51"/>
  <c r="K51" i="15"/>
  <c r="P51"/>
  <c r="M51" i="10"/>
  <c r="M39" i="8"/>
  <c r="R51" i="16"/>
  <c r="M39" i="10"/>
  <c r="P39" i="8"/>
  <c r="P39" i="9"/>
  <c r="I39" i="5"/>
  <c r="Q39" i="1"/>
  <c r="E51"/>
  <c r="Q51"/>
  <c r="Q51" i="14"/>
  <c r="E39" i="4"/>
  <c r="R51" i="1"/>
  <c r="R39" i="16"/>
  <c r="P39" i="15"/>
  <c r="E39" i="16"/>
  <c r="P39" i="10"/>
  <c r="Q51" i="16"/>
  <c r="E51"/>
  <c r="P50" i="11"/>
  <c r="Q39" i="4"/>
  <c r="Q39" i="16"/>
  <c r="E39" i="15"/>
  <c r="I39" i="16"/>
  <c r="G24" i="11"/>
  <c r="K25"/>
  <c r="R39" i="14"/>
  <c r="E51" i="10"/>
  <c r="O51"/>
  <c r="P51"/>
  <c r="E25" i="16"/>
  <c r="I25"/>
  <c r="G51"/>
  <c r="K25" i="8"/>
  <c r="K39"/>
  <c r="E25" i="15"/>
  <c r="M39"/>
  <c r="T39"/>
  <c r="O39"/>
  <c r="G25"/>
  <c r="K25"/>
  <c r="T51" i="4"/>
  <c r="N25" i="13"/>
  <c r="M25"/>
  <c r="K52"/>
  <c r="E52"/>
  <c r="I52"/>
  <c r="I25" i="14"/>
  <c r="K25"/>
  <c r="E25"/>
  <c r="Y25" i="16"/>
  <c r="AA25"/>
  <c r="M25"/>
  <c r="O25"/>
  <c r="R25" i="10"/>
  <c r="M12" i="16"/>
  <c r="M51"/>
  <c r="AA51"/>
  <c r="X39"/>
  <c r="I51"/>
  <c r="M39"/>
  <c r="X51"/>
  <c r="G39"/>
  <c r="AC39"/>
  <c r="K12" i="1"/>
  <c r="E39"/>
  <c r="I39"/>
  <c r="M12"/>
  <c r="I12" i="9"/>
  <c r="G12"/>
  <c r="I25"/>
  <c r="N39"/>
  <c r="M12" i="10"/>
  <c r="I12"/>
  <c r="R12"/>
  <c r="T12"/>
  <c r="G25"/>
  <c r="M25"/>
  <c r="K25"/>
  <c r="R51"/>
  <c r="N25"/>
  <c r="O25"/>
  <c r="E25"/>
  <c r="G12" i="13"/>
  <c r="M12"/>
  <c r="I12"/>
  <c r="T12"/>
  <c r="P39"/>
  <c r="M39"/>
  <c r="G39"/>
  <c r="O25"/>
  <c r="E39"/>
  <c r="R39"/>
  <c r="M12" i="15"/>
  <c r="G12"/>
  <c r="I12"/>
  <c r="R12"/>
  <c r="M51"/>
  <c r="R25"/>
  <c r="O25"/>
  <c r="K12" i="4"/>
  <c r="G12"/>
  <c r="V12"/>
  <c r="I12"/>
  <c r="O12"/>
  <c r="M25"/>
  <c r="V39"/>
  <c r="M12" i="8"/>
  <c r="I12"/>
  <c r="K12"/>
  <c r="E39"/>
  <c r="O51"/>
  <c r="R39"/>
  <c r="G39"/>
  <c r="K12" i="11"/>
  <c r="R12"/>
  <c r="G12"/>
  <c r="T12"/>
  <c r="M12"/>
  <c r="M12" i="14"/>
  <c r="V12"/>
  <c r="G51"/>
  <c r="M12" i="5"/>
  <c r="O12"/>
  <c r="T12"/>
  <c r="K12"/>
  <c r="G12"/>
  <c r="V39"/>
  <c r="G25"/>
  <c r="G39"/>
  <c r="E51"/>
  <c r="K51" i="16"/>
  <c r="X25"/>
  <c r="Q25"/>
  <c r="P25" i="14"/>
  <c r="P25" i="8"/>
  <c r="O38" i="11"/>
  <c r="R25" i="4"/>
  <c r="E25"/>
  <c r="M50" i="11"/>
  <c r="M39" i="5"/>
  <c r="K51"/>
  <c r="G50" i="11"/>
  <c r="Q39" i="5"/>
  <c r="G51"/>
  <c r="P51" i="1"/>
  <c r="P39" i="5"/>
  <c r="M39" i="14"/>
  <c r="P51" i="16"/>
  <c r="T38" i="11"/>
  <c r="M38"/>
  <c r="P25" i="13"/>
  <c r="M51" i="5"/>
  <c r="I38" i="11"/>
  <c r="I25" i="10"/>
  <c r="T25" i="11"/>
  <c r="Q51" i="4"/>
  <c r="K25"/>
  <c r="G25"/>
  <c r="M51" i="8"/>
  <c r="Q51" i="5"/>
  <c r="M25" i="11"/>
  <c r="R50"/>
  <c r="G51" i="15"/>
  <c r="N50" i="11"/>
  <c r="E51" i="9"/>
  <c r="G39" i="14"/>
  <c r="K38" i="11"/>
  <c r="E38"/>
  <c r="P39" i="1"/>
  <c r="I12"/>
  <c r="R12"/>
  <c r="R25" i="5"/>
  <c r="Q25"/>
  <c r="I25"/>
  <c r="M25"/>
  <c r="P25" i="9"/>
  <c r="E25"/>
  <c r="K25"/>
  <c r="I12" i="11"/>
  <c r="K12" i="10"/>
  <c r="G12" i="16"/>
  <c r="P51" i="9"/>
  <c r="R51"/>
  <c r="P51" i="14"/>
  <c r="T25" i="9"/>
  <c r="R25"/>
  <c r="K25" i="5"/>
  <c r="O51" i="9"/>
  <c r="R51" i="14"/>
  <c r="E51"/>
  <c r="M51"/>
  <c r="K39" i="16"/>
  <c r="P39"/>
  <c r="E25" i="1"/>
  <c r="I25"/>
  <c r="P25" i="5"/>
  <c r="K12" i="13"/>
  <c r="AC12" i="16"/>
  <c r="N12" i="8"/>
  <c r="N51"/>
  <c r="G25"/>
  <c r="O25" i="5"/>
  <c r="E25" i="8"/>
  <c r="O25"/>
  <c r="V25" i="5"/>
  <c r="I51" i="14"/>
  <c r="O25" i="9"/>
  <c r="E25" i="5"/>
  <c r="E39" i="10"/>
  <c r="G51" i="4"/>
  <c r="M51"/>
  <c r="E50" i="11"/>
  <c r="T50"/>
  <c r="K50"/>
  <c r="I50"/>
  <c r="E51" i="8"/>
  <c r="P51"/>
  <c r="G51"/>
  <c r="T51" i="14"/>
  <c r="G39" i="10"/>
  <c r="N39"/>
  <c r="R39"/>
  <c r="E39" i="9"/>
  <c r="G39"/>
  <c r="O39"/>
  <c r="R39"/>
  <c r="K39"/>
  <c r="I39" i="8"/>
  <c r="N39"/>
  <c r="V51" i="4"/>
  <c r="AC25" i="16"/>
  <c r="I25" i="8"/>
  <c r="O25" i="4"/>
  <c r="Q25"/>
  <c r="V25"/>
  <c r="E25" i="13"/>
  <c r="T25"/>
  <c r="R25"/>
  <c r="I12" i="14"/>
  <c r="K12" i="9"/>
  <c r="E12" i="16"/>
  <c r="P25"/>
  <c r="P39" i="14"/>
  <c r="T25" i="4"/>
  <c r="G51" i="9"/>
  <c r="G38" i="11"/>
  <c r="G25"/>
  <c r="K51" i="9"/>
  <c r="M25" i="8"/>
  <c r="P12" i="5"/>
  <c r="V51" i="14"/>
  <c r="K12" i="15"/>
  <c r="K25" i="13"/>
  <c r="T25" i="8"/>
  <c r="G25" i="1"/>
  <c r="I51" i="15"/>
  <c r="I51" i="9"/>
  <c r="N51"/>
  <c r="I39" i="10"/>
  <c r="O25" i="11"/>
  <c r="R25"/>
  <c r="P25"/>
  <c r="E25"/>
  <c r="P25" i="1"/>
  <c r="Z25"/>
  <c r="N39" i="13"/>
  <c r="G25"/>
  <c r="O25" i="1"/>
  <c r="G12" i="14"/>
  <c r="O12"/>
  <c r="T12" i="9"/>
  <c r="P12"/>
  <c r="E12"/>
  <c r="R12" i="16"/>
  <c r="R11"/>
  <c r="T39" i="10"/>
  <c r="I25" i="13"/>
  <c r="R12" i="9"/>
  <c r="O12" i="15"/>
  <c r="E39" i="5"/>
  <c r="I25" i="4"/>
  <c r="T12" i="15"/>
  <c r="R52" i="13"/>
  <c r="R12"/>
  <c r="E12" i="10"/>
  <c r="G39" i="15"/>
  <c r="K39" i="10"/>
  <c r="T25" i="5"/>
  <c r="X25" i="1"/>
  <c r="I12" i="16"/>
  <c r="E12" i="13"/>
  <c r="E12" i="11"/>
  <c r="K12" i="16"/>
  <c r="T12" i="1"/>
  <c r="P12"/>
  <c r="X7" i="16"/>
</calcChain>
</file>

<file path=xl/sharedStrings.xml><?xml version="1.0" encoding="utf-8"?>
<sst xmlns="http://schemas.openxmlformats.org/spreadsheetml/2006/main" count="1726" uniqueCount="230">
  <si>
    <t>СОШ  №1</t>
  </si>
  <si>
    <t>СОШ № 2</t>
  </si>
  <si>
    <t>СОШ № 3</t>
  </si>
  <si>
    <t>СОШ № 6</t>
  </si>
  <si>
    <t>Загривская 
СОШ</t>
  </si>
  <si>
    <t>Старопольская 
СОШ</t>
  </si>
  <si>
    <t>РАЙОН</t>
  </si>
  <si>
    <t>Участники экзамена</t>
  </si>
  <si>
    <t>чел.</t>
  </si>
  <si>
    <t>"5"</t>
  </si>
  <si>
    <t>% от числа участников</t>
  </si>
  <si>
    <t>"4"</t>
  </si>
  <si>
    <t>"3"</t>
  </si>
  <si>
    <t>Средняяоценка</t>
  </si>
  <si>
    <t>Средний первичный балл</t>
  </si>
  <si>
    <t>"2"  в основной день ОГЭ</t>
  </si>
  <si>
    <t>МОУ "Выскатская ООШ</t>
  </si>
  <si>
    <t>МОУ "Новосельская ООШ"</t>
  </si>
  <si>
    <t>% от числа обучающихся 9кл.</t>
  </si>
  <si>
    <t>% от числа обучающихся 9 кл., допущенных к ОГЭ</t>
  </si>
  <si>
    <t>% от числа обучающихся 9 кл.</t>
  </si>
  <si>
    <t>ЛО</t>
  </si>
  <si>
    <t>Старопольская СОШ</t>
  </si>
  <si>
    <t>% выполнения</t>
  </si>
  <si>
    <t>Средняя оценка</t>
  </si>
  <si>
    <t>средний первичный балл по модулю</t>
  </si>
  <si>
    <t>алгебра</t>
  </si>
  <si>
    <t>геометрия</t>
  </si>
  <si>
    <t>Получили  30-32 балла</t>
  </si>
  <si>
    <t xml:space="preserve">ЛО </t>
  </si>
  <si>
    <t>Получили 37-39 баллов</t>
  </si>
  <si>
    <t>Получили максимальный балл 39 б.</t>
  </si>
  <si>
    <r>
      <t xml:space="preserve">% выполнения работы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(39 первичных баллов)</t>
    </r>
  </si>
  <si>
    <t>Получили 37-39 первичных баллов</t>
  </si>
  <si>
    <r>
      <t>% выполнения от максимального первичного балла</t>
    </r>
    <r>
      <rPr>
        <sz val="11"/>
        <color theme="1"/>
        <rFont val="Calibri"/>
        <family val="2"/>
        <charset val="204"/>
        <scheme val="minor"/>
      </rPr>
      <t>(34 )</t>
    </r>
  </si>
  <si>
    <t>Получили 32-34 балла</t>
  </si>
  <si>
    <r>
      <t xml:space="preserve">%выполнения от максимального первичного балла 
</t>
    </r>
    <r>
      <rPr>
        <sz val="11"/>
        <color theme="1"/>
        <rFont val="Calibri"/>
        <family val="2"/>
        <charset val="204"/>
        <scheme val="minor"/>
      </rPr>
      <t>40 баллов</t>
    </r>
  </si>
  <si>
    <t>20-22 балла</t>
  </si>
  <si>
    <r>
      <t xml:space="preserve">% выполнения работы от максимального первичного балла
 </t>
    </r>
    <r>
      <rPr>
        <sz val="11"/>
        <color theme="1"/>
        <rFont val="Calibri"/>
        <family val="2"/>
        <charset val="204"/>
        <scheme val="minor"/>
      </rPr>
      <t>22 балла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</si>
  <si>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% выполнения работы от максимального первичного балла
 44</t>
    </r>
    <r>
      <rPr>
        <sz val="11"/>
        <color theme="1"/>
        <rFont val="Calibri"/>
        <family val="2"/>
        <charset val="204"/>
        <scheme val="minor"/>
      </rPr>
      <t xml:space="preserve"> балла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</si>
  <si>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Получили 30-32 балла</t>
  </si>
  <si>
    <r>
      <t xml:space="preserve">% выполнения от максимально возможного балла
</t>
    </r>
    <r>
      <rPr>
        <sz val="11"/>
        <color theme="1"/>
        <rFont val="Calibri"/>
        <family val="2"/>
        <charset val="204"/>
        <scheme val="minor"/>
      </rPr>
      <t>46 б.</t>
    </r>
  </si>
  <si>
    <t>в т.ч.22 балла</t>
  </si>
  <si>
    <t>42-44 балла</t>
  </si>
  <si>
    <t>44 балла</t>
  </si>
  <si>
    <r>
      <t xml:space="preserve">% выполнения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(32 первичных балла )</t>
    </r>
  </si>
  <si>
    <t>в т.ч.получили макс. балл 32</t>
  </si>
  <si>
    <r>
      <t xml:space="preserve">% выполнения работы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(23 первичных баллов)</t>
    </r>
  </si>
  <si>
    <t>Получили 21-23 первичных баллов</t>
  </si>
  <si>
    <t>№ задания</t>
  </si>
  <si>
    <t>Проверяемые знания, умения, навыки</t>
  </si>
  <si>
    <t>2.</t>
  </si>
  <si>
    <t>Анализ текста, умение находить ответ на поставленный вопрос</t>
  </si>
  <si>
    <t>3.</t>
  </si>
  <si>
    <t>Анализ средств выразительности речи</t>
  </si>
  <si>
    <t>4.</t>
  </si>
  <si>
    <t>Правописание приставок</t>
  </si>
  <si>
    <t>5.</t>
  </si>
  <si>
    <t>Правописание суффиксов</t>
  </si>
  <si>
    <t xml:space="preserve"> 6.</t>
  </si>
  <si>
    <t>Употребление синонимов в речи</t>
  </si>
  <si>
    <t xml:space="preserve"> 7.</t>
  </si>
  <si>
    <t>Связь слов в словосочетании</t>
  </si>
  <si>
    <t>8.</t>
  </si>
  <si>
    <t>Грамматическая основа предложения</t>
  </si>
  <si>
    <t>9.</t>
  </si>
  <si>
    <t>Обособленные члены предложения</t>
  </si>
  <si>
    <t>10.</t>
  </si>
  <si>
    <t>Знаки препинания в предложениях с вводными словами</t>
  </si>
  <si>
    <t>11.</t>
  </si>
  <si>
    <t>Сложное предложение. Грамматическая основа предложения</t>
  </si>
  <si>
    <t>12.</t>
  </si>
  <si>
    <t>Знаки препинания в сложносочиненном и сложноподчиненном предложениях</t>
  </si>
  <si>
    <t>13.</t>
  </si>
  <si>
    <t>Сложноподчиненное предложение с несколькими придаточными</t>
  </si>
  <si>
    <t>14.</t>
  </si>
  <si>
    <t>Сложные предложения с разными видами связи между частями</t>
  </si>
  <si>
    <t>СОШ№ 1</t>
  </si>
  <si>
    <t>Выскатская ООШ</t>
  </si>
  <si>
    <t>Новосельская ООШ</t>
  </si>
  <si>
    <r>
      <t>1.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</si>
  <si>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Действия с обыкновенными и десятичными дробями </t>
  </si>
  <si>
    <r>
      <t>2.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</si>
  <si>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 Перевод обыкновенной дроби в десятичную; сравнение дробей; определение места положения на координатной прямой. </t>
  </si>
  <si>
    <r>
      <t>3.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</si>
  <si>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>Действия с арифметическими корнями; свойства степеней.</t>
  </si>
  <si>
    <r>
      <t>4.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</si>
  <si>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Решение квадратного уравнения </t>
  </si>
  <si>
    <r>
      <t>5.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</si>
  <si>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Чтение графиков функции </t>
  </si>
  <si>
    <r>
      <t>6.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</si>
  <si>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 Нахождение суммы арифметической прогрессии </t>
  </si>
  <si>
    <r>
      <t>7.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</si>
  <si>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 Преобразование алгебраического выражения с использованием формул сокращенного умножения и нахождение его значения</t>
  </si>
  <si>
    <r>
      <t>8.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</si>
  <si>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>Решение линейного неравенства</t>
  </si>
  <si>
    <r>
      <t>9.</t>
    </r>
    <r>
      <rPr>
        <sz val="11"/>
        <color theme="1"/>
        <rFont val="Calibri"/>
        <family val="2"/>
        <charset val="204"/>
        <scheme val="minor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</si>
  <si>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t>Нахождение углов, образованных параллельными прямыми и секущей.</t>
  </si>
  <si>
    <r>
      <t>10.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</si>
  <si>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Нахождение диаметра окружности с использованием теоремы Пифагора.</t>
  </si>
  <si>
    <r>
      <t>11.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</si>
  <si>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Нахождение площади трапеции; определение величины высоты трапеции.</t>
  </si>
  <si>
    <r>
      <t>12.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</si>
  <si>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Геометрия на клетчатой бумаге. </t>
  </si>
  <si>
    <r>
      <t>13.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</si>
  <si>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14.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</si>
  <si>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15.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</si>
  <si>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Описывать с помощью функций различные реальные зависимости ме жду величинами;</t>
  </si>
  <si>
    <r>
      <t>16.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</si>
  <si>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Решать несложные практические расчетные, связанные с отношением, пропорциональностью величин</t>
  </si>
  <si>
    <r>
      <t>17.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</si>
  <si>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Описывать реальные ситуации на языке геометрии, исследовать построенные модели с использованием геометрических понятий и теорем, решать практические задачи, связанные с нахождением геометрических величин</t>
  </si>
  <si>
    <r>
      <t>18.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</si>
  <si>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Анализировать реальные числовые данные, представленные в таблицах, на диаграммах.</t>
  </si>
  <si>
    <r>
      <t>19.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</si>
  <si>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Решать практические задачи, требующие систематического перебора вариантов; сравнивать шансы наступления случайных событий, оценивать вероятности случайного события, сопоставлять и исследовать модели реальной ситуацией с использованием  аппарата вероятности и статистики</t>
  </si>
  <si>
    <r>
      <t>20.</t>
    </r>
    <r>
      <rPr>
        <sz val="11"/>
        <color theme="1"/>
        <rFont val="Calibri"/>
        <family val="2"/>
        <charset val="204"/>
        <scheme val="minor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</si>
  <si>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>Доказательные рассуждения при решении задач, оцениватьлогическую правильность рассуждений, распознавать ошибочные заключения.</t>
  </si>
  <si>
    <t>Пользоваться основными единицами длины, массы, времени, скорости,площади, объёма; выражать более крупные единицы через более мелкие и наоборот.</t>
  </si>
  <si>
    <t>Осуществлять практические расчеты по формулам, составлять несложные формулы, выражающие зависимости между величинами</t>
  </si>
  <si>
    <t>Основные проверяемые требования к математической подготовке</t>
  </si>
  <si>
    <t>Уметь выполнять преобразования алгебраическихвыражений , решать уравнения,неравенства, их системы, строить и читать графики функций</t>
  </si>
  <si>
    <t>Уметь выполнять преобразования алгебраических выражений, решать уравнения, неравенства и их системы, строить и читать графики функций, строить и исследовать простейшие математические модели</t>
  </si>
  <si>
    <t>Уметь выполнять действия с геометрическими фигурами, координатами и векторами</t>
  </si>
  <si>
    <t>Проводить доказательные рассуждения при решении задач, оценивать логическую правильность рассуждений, распознавать ошибочные заключения</t>
  </si>
  <si>
    <t>Получили 38-40 первичных баллов</t>
  </si>
  <si>
    <t>Получили 44-46 первичных баллов</t>
  </si>
  <si>
    <t xml:space="preserve"> </t>
  </si>
  <si>
    <t>% выполнения от мксимального первичного балла, 32 балла</t>
  </si>
  <si>
    <t>% выполненияот максимального певичного балла, 39 баллов.</t>
  </si>
  <si>
    <t>Результаты 2018</t>
  </si>
  <si>
    <t>Результаты 2017</t>
  </si>
  <si>
    <r>
      <t xml:space="preserve">% выполнения работы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 xml:space="preserve"> 70 баллов</t>
    </r>
  </si>
  <si>
    <t>Результаты ОГЭ -2018 по русскому языку</t>
  </si>
  <si>
    <t>Результаты ОГЭ -2018 по информатике и ИКТ</t>
  </si>
  <si>
    <t>результаты 2017</t>
  </si>
  <si>
    <t xml:space="preserve">Результаты ОГЭ -2018 по биологии </t>
  </si>
  <si>
    <t>результаты 2018</t>
  </si>
  <si>
    <t>Результаты ОГЭ -2018 по обществознанию</t>
  </si>
  <si>
    <t>Результаты ОГЭ -2018 по литературе</t>
  </si>
  <si>
    <r>
      <t xml:space="preserve">% выполнения работы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(33 первичных баллов)</t>
    </r>
  </si>
  <si>
    <t>Получили 31-33 первичных баллов</t>
  </si>
  <si>
    <t>Результаты ОГЭ -2018 по физике</t>
  </si>
  <si>
    <t>Результаты ОГЭ -2018 по истории</t>
  </si>
  <si>
    <t xml:space="preserve">Результаты ОГЭ -2018 по географии </t>
  </si>
  <si>
    <t>Результаты ОГЭ -2018 по химии</t>
  </si>
  <si>
    <t xml:space="preserve">Результаты ОГЭ -2018 по математике </t>
  </si>
  <si>
    <t>68-70 балла</t>
  </si>
  <si>
    <t>в т.ч.70 балла</t>
  </si>
  <si>
    <t>в т.ч.46 балла</t>
  </si>
  <si>
    <t>в т.ч.34 балла</t>
  </si>
  <si>
    <t>в т.ч. 33 балла</t>
  </si>
  <si>
    <t>в т.ч.39 балла</t>
  </si>
  <si>
    <t>в т.ч.32 балла</t>
  </si>
  <si>
    <t>Загривская  СОШ</t>
  </si>
  <si>
    <t>В т.ч. получили максимальный балл 39 б.</t>
  </si>
  <si>
    <t>в т.ч.40 баллов</t>
  </si>
  <si>
    <t>АНАЛИЗ ВЫПОЛНЕНИЯ ЗАДАНИЙ 
 (процент   выполнения  по  ОО от  максимально  возможного  балла  за  каждое  задание)</t>
  </si>
  <si>
    <t>АНАЛИЗ  ВЫПОЛНЕНИЯ ЗАДАНИЙ 
 (процент   выполнения  по  ОО от  максимально  возможного  балла  за  каждое  задание)</t>
  </si>
  <si>
    <t>Результаты ОГЭ -2019 по английскому языку</t>
  </si>
  <si>
    <t>Результаты 2019</t>
  </si>
  <si>
    <t>Результаты ОГЭ -2019 по русскому языку</t>
  </si>
  <si>
    <t>результаты 2019</t>
  </si>
  <si>
    <t>Результаты ОГЭ -2019 по обществознанию</t>
  </si>
  <si>
    <t xml:space="preserve">Результаты ОГЭ -2019 по математике </t>
  </si>
  <si>
    <t>Результаты ОГЭ -2019 по информатике и ИКТ</t>
  </si>
  <si>
    <t xml:space="preserve">Результаты ОГЭ -2019 по географии </t>
  </si>
  <si>
    <t>Результаты ОГЭ -2019 по химии</t>
  </si>
  <si>
    <t>Результаты ОГЭ -2019 по физике</t>
  </si>
  <si>
    <t>Результаты ОГЭ -2019 по литературе</t>
  </si>
  <si>
    <t xml:space="preserve">Результаты ОГЭ -2019 по биологии </t>
  </si>
  <si>
    <t>Результаты ОГЭ -2019 по истории</t>
  </si>
  <si>
    <t>"2"  по  итогам  пересдачи</t>
  </si>
  <si>
    <t>средний первичный балл по модулю
(до пересдачи)</t>
  </si>
  <si>
    <t>"2"   после  пересдачи</t>
  </si>
  <si>
    <t>"2" после пересдачи</t>
  </si>
  <si>
    <t>"2"    после пересдачи</t>
  </si>
  <si>
    <t>"2"  после  пересдачи</t>
  </si>
  <si>
    <t xml:space="preserve">                                                            </t>
  </si>
  <si>
    <t>%</t>
  </si>
  <si>
    <t>результаты 2021</t>
  </si>
  <si>
    <t>в т.ч.получили макс. балл 31</t>
  </si>
  <si>
    <t>в т.ч.37 балла</t>
  </si>
  <si>
    <r>
      <t xml:space="preserve">% выполнения работы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(37 первичных баллов)</t>
    </r>
  </si>
  <si>
    <t>Результаты 2021</t>
  </si>
  <si>
    <t>в т.ч.53 балла</t>
  </si>
  <si>
    <r>
      <t xml:space="preserve">% выполнения работы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53 баллов</t>
    </r>
  </si>
  <si>
    <r>
      <t>% выполнения от максимального первичного балла</t>
    </r>
    <r>
      <rPr>
        <sz val="11"/>
        <color theme="1"/>
        <rFont val="Calibri"/>
        <family val="2"/>
        <charset val="204"/>
        <scheme val="minor"/>
      </rPr>
      <t>(38 )</t>
    </r>
  </si>
  <si>
    <t>в т.ч.38 балла</t>
  </si>
  <si>
    <t>Результаты КР -2021 по физике</t>
  </si>
  <si>
    <r>
      <t xml:space="preserve">%выполнения от максимального первичного балла 
</t>
    </r>
    <r>
      <rPr>
        <sz val="11"/>
        <color theme="1"/>
        <rFont val="Calibri"/>
        <family val="2"/>
        <charset val="204"/>
        <scheme val="minor"/>
      </rPr>
      <t>42 баллов</t>
    </r>
  </si>
  <si>
    <t>Получили 33-42 первичных баллов</t>
  </si>
  <si>
    <t>в т.ч.42 баллов</t>
  </si>
  <si>
    <t>Результаты КР -2021 по литературе</t>
  </si>
  <si>
    <t>Получили 37-45 первичных баллов</t>
  </si>
  <si>
    <t>в т.ч. 45 балла</t>
  </si>
  <si>
    <t>Результаты КР -2021 по истории</t>
  </si>
  <si>
    <r>
      <t>% выполнения работы от максимального первичного балла
 37</t>
    </r>
    <r>
      <rPr>
        <sz val="11"/>
        <color theme="1"/>
        <rFont val="Calibri"/>
        <family val="2"/>
        <charset val="204"/>
        <scheme val="minor"/>
      </rPr>
      <t xml:space="preserve"> балла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</si>
  <si>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37 балла</t>
  </si>
  <si>
    <t>Результаты КР -2021 по информатике и ИКТ</t>
  </si>
  <si>
    <r>
      <t xml:space="preserve">% выполнения работы от максимального первичного балла
 </t>
    </r>
    <r>
      <rPr>
        <sz val="11"/>
        <color theme="1"/>
        <rFont val="Calibri"/>
        <family val="2"/>
        <charset val="204"/>
        <scheme val="minor"/>
      </rPr>
      <t>19 балла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</si>
  <si>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в т.ч.19 балла</t>
  </si>
  <si>
    <t xml:space="preserve">Результаты КР -2021 по биологии </t>
  </si>
  <si>
    <t>в т.ч.45 балла</t>
  </si>
  <si>
    <r>
      <t xml:space="preserve">% выполнения от максимально возможного балла
</t>
    </r>
    <r>
      <rPr>
        <sz val="11"/>
        <color theme="1"/>
        <rFont val="Calibri"/>
        <family val="2"/>
        <charset val="204"/>
        <scheme val="minor"/>
      </rPr>
      <t>45 б.</t>
    </r>
  </si>
  <si>
    <r>
      <t xml:space="preserve">% выполнения от максимального первичного балла
</t>
    </r>
    <r>
      <rPr>
        <sz val="11"/>
        <color theme="1"/>
        <rFont val="Calibri"/>
        <family val="2"/>
        <charset val="204"/>
        <scheme val="minor"/>
      </rPr>
      <t>(31 первичных балла )</t>
    </r>
  </si>
  <si>
    <t>Результаты КР -2021 по английскому языку</t>
  </si>
  <si>
    <t xml:space="preserve">Результаты КР -2021 по географии </t>
  </si>
  <si>
    <t>Результаты КР -2021 по химии</t>
  </si>
  <si>
    <t>Результаты КР -2021 по обществознанию</t>
  </si>
  <si>
    <t>Результаты ОГЭ -2021 по русскому языку</t>
  </si>
  <si>
    <t xml:space="preserve">Результаты ОГЭ -2021 по математике </t>
  </si>
  <si>
    <t>"2"  в основной день КР</t>
  </si>
  <si>
    <t>в т.ч.31 балл</t>
  </si>
  <si>
    <t>% выполнения от мксимального первичного балла, 31 балла</t>
  </si>
  <si>
    <t>В т.ч. получили максимальный балл 33 б.</t>
  </si>
  <si>
    <t>% выполненияот максимального певичного балла, 33 баллов.</t>
  </si>
  <si>
    <t>51-53 балла</t>
  </si>
  <si>
    <t>18-19 балла</t>
  </si>
  <si>
    <t>Получили 43-45 первичных баллов</t>
  </si>
  <si>
    <t>Получили 30-31 балла</t>
  </si>
  <si>
    <t>Получили 36-38 балла</t>
  </si>
  <si>
    <t>35-37 балла</t>
  </si>
  <si>
    <t>Получили 36-37 первичных баллов</t>
  </si>
  <si>
    <t>Индекс достижения высоко уровня  подготовки
22-23 балла</t>
  </si>
  <si>
    <t>Получили  29-31 балла</t>
  </si>
  <si>
    <t>Индекс   достижения  минимального  уровня
0-16 баллов</t>
  </si>
  <si>
    <t>Индекс достижения высоко уровня  подготовки
29-30 баллов</t>
  </si>
  <si>
    <t>Получили 31-33 баллов</t>
  </si>
  <si>
    <t>Индекс   достижения  минимального  уровня
0-9 баллов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</si>
</sst>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1"/>
  <sheetViews>
    <sheetView view="pageBreakPreview" zoomScale="60" workbookViewId="0">
      <selection activeCell="S12" sqref="S12"/>
    </sheetView>
  </sheetViews>
  <sheetFormatPr defaultRowHeight="15"/>
  <cols>
    <col min="1" max="1" width="8.85546875" customWidth="1"/>
    <col min="2" max="2" width="6.28515625" customWidth="1"/>
    <col min="3" max="3" width="10.5703125" customWidth="1"/>
    <col min="4" max="4" width="9.28515625" bestFit="1" customWidth="1"/>
    <col min="5" max="5" width="10.85546875" customWidth="1"/>
    <col min="6" max="7" width="9.28515625" bestFit="1" customWidth="1"/>
    <col min="8" max="8" width="9.42578125" bestFit="1" customWidth="1"/>
    <col min="10" max="10" width="9.28515625" bestFit="1" customWidth="1"/>
    <col min="12" max="12" width="9.28515625" bestFit="1" customWidth="1"/>
    <col min="13" max="13" width="11.5703125" bestFit="1" customWidth="1"/>
    <col min="14" max="14" width="9.28515625" bestFit="1" customWidth="1"/>
    <col min="15" max="15" width="11.5703125" bestFit="1" customWidth="1"/>
    <col min="16" max="16" width="13.140625" customWidth="1"/>
    <col min="18" max="18" width="11.5703125" bestFit="1" customWidth="1"/>
  </cols>
  <sheetData>
    <row r="1" spans="1:20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>
      <c r="A2" s="1" t="s">
        <v>184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24</v>
      </c>
      <c r="O2" s="1" t="s">
        <v>14</v>
      </c>
      <c r="P2" s="1" t="s">
        <v>186</v>
      </c>
      <c r="Q2" s="1" t="s">
        <v>217</v>
      </c>
      <c r="R2" s="1"/>
      <c r="S2" s="1" t="s">
        <v>185</v>
      </c>
      <c r="T2" s="1"/>
    </row>
    <row r="3" spans="1:20" ht="117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s="1"/>
      <c r="O3" s="1"/>
      <c r="P3" s="1"/>
      <c r="Q3" t="s">
        <v>8</v>
      </c>
      <c r="R3" t="s">
        <v>10</v>
      </c>
      <c r="S3" t="s">
        <v>8</v>
      </c>
      <c r="T3" t="s">
        <v>10</v>
      </c>
    </row>
    <row r="4" spans="1:20" ht="18" customHeight="1">
      <c r="A4" s="1"/>
      <c r="B4">
        <v>1</v>
      </c>
      <c r="C4" t="s">
        <v>0</v>
      </c>
      <c r="D4">
        <v>0</v>
      </c>
      <c r="E4">
        <f>D4/43</f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s="1"/>
      <c r="B5">
        <v>2</v>
      </c>
      <c r="C5" t="s">
        <v>1</v>
      </c>
      <c r="D5">
        <v>0</v>
      </c>
      <c r="E5">
        <f>D5/40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>
      <c r="A6" s="1"/>
      <c r="B6">
        <v>3</v>
      </c>
      <c r="C6" t="s">
        <v>2</v>
      </c>
      <c r="D6">
        <v>1</v>
      </c>
      <c r="E6">
        <f>D6/86</f>
        <v>1.1627906976744186E-2</v>
      </c>
      <c r="F6">
        <v>0</v>
      </c>
      <c r="G6">
        <f>F6/D6</f>
        <v>0</v>
      </c>
      <c r="H6">
        <v>0</v>
      </c>
      <c r="I6">
        <f>H6/D6</f>
        <v>0</v>
      </c>
      <c r="J6">
        <v>1</v>
      </c>
      <c r="K6">
        <f>J6/D6</f>
        <v>1</v>
      </c>
      <c r="L6">
        <v>0</v>
      </c>
      <c r="M6">
        <f>L6/D6</f>
        <v>0</v>
      </c>
      <c r="N6">
        <f>(F6*5+H6*4+J6*3+L6*2)/D6</f>
        <v>3</v>
      </c>
      <c r="O6">
        <f>34</f>
        <v>34</v>
      </c>
      <c r="P6">
        <v>0.64</v>
      </c>
      <c r="Q6">
        <v>0</v>
      </c>
      <c r="R6">
        <f>Q6/D6</f>
        <v>0</v>
      </c>
      <c r="S6">
        <v>0</v>
      </c>
      <c r="T6">
        <f>S6/D6</f>
        <v>0</v>
      </c>
    </row>
    <row r="7" spans="1:20">
      <c r="A7" s="1"/>
      <c r="B7">
        <v>4</v>
      </c>
      <c r="C7" t="s">
        <v>3</v>
      </c>
      <c r="D7">
        <v>2</v>
      </c>
      <c r="E7">
        <f>D7/69</f>
        <v>2.8985507246376812E-2</v>
      </c>
      <c r="F7">
        <v>2</v>
      </c>
      <c r="G7">
        <f>F7/D7</f>
        <v>1</v>
      </c>
      <c r="H7">
        <v>0</v>
      </c>
      <c r="I7">
        <f>H7/D7</f>
        <v>0</v>
      </c>
      <c r="J7">
        <v>0</v>
      </c>
      <c r="K7">
        <f>J7/D7</f>
        <v>0</v>
      </c>
      <c r="L7">
        <v>0</v>
      </c>
      <c r="M7">
        <f>L7/D7</f>
        <v>0</v>
      </c>
      <c r="N7">
        <v>4</v>
      </c>
      <c r="O7">
        <v>41.5</v>
      </c>
      <c r="P7">
        <v>0.78</v>
      </c>
      <c r="Q7">
        <v>1</v>
      </c>
      <c r="R7">
        <f>Q7/D7</f>
        <v>0.5</v>
      </c>
      <c r="S7">
        <v>0</v>
      </c>
      <c r="T7">
        <f>S7/D7</f>
        <v>0</v>
      </c>
    </row>
    <row r="8" spans="1:20">
      <c r="A8" s="1"/>
      <c r="B8">
        <v>5</v>
      </c>
      <c r="C8" t="s">
        <v>4</v>
      </c>
      <c r="D8">
        <v>0</v>
      </c>
      <c r="E8">
        <f>D8/6</f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>
      <c r="A9" s="1"/>
      <c r="B9">
        <v>6</v>
      </c>
      <c r="C9" t="s">
        <v>5</v>
      </c>
      <c r="D9">
        <v>0</v>
      </c>
      <c r="E9">
        <f>D9/12</f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27" customHeight="1">
      <c r="A10" s="1"/>
      <c r="B10">
        <v>7</v>
      </c>
      <c r="C10" t="s">
        <v>16</v>
      </c>
      <c r="D10">
        <v>0</v>
      </c>
      <c r="E10">
        <f>D10/6</f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33" customHeight="1">
      <c r="A11" s="1"/>
      <c r="B11">
        <v>8</v>
      </c>
      <c r="C11" t="s">
        <v>17</v>
      </c>
      <c r="D11">
        <v>0</v>
      </c>
      <c r="E11">
        <f>D11/2</f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32.25" customHeight="1">
      <c r="A12" s="1"/>
      <c r="C12" t="s">
        <v>6</v>
      </c>
      <c r="D12">
        <f>D4+D5+D6+D7+D8+D9+D10+D11</f>
        <v>3</v>
      </c>
      <c r="E12">
        <f>D12/283</f>
        <v>1.0600706713780919E-2</v>
      </c>
      <c r="F12">
        <f>SUM(F4:F11)</f>
        <v>2</v>
      </c>
      <c r="G12">
        <f>F12/D12</f>
        <v>0.66666666666666663</v>
      </c>
      <c r="H12">
        <f>SUM(H4:H11)</f>
        <v>0</v>
      </c>
      <c r="I12">
        <f>H12/D12</f>
        <v>0</v>
      </c>
      <c r="J12">
        <f>J4+J5+J6+J7+J8+J9+J10+J11</f>
        <v>1</v>
      </c>
      <c r="K12">
        <f>J12/D12</f>
        <v>0.33333333333333331</v>
      </c>
      <c r="L12">
        <v>0</v>
      </c>
      <c r="M12">
        <f>L12/D12</f>
        <v>0</v>
      </c>
      <c r="N12">
        <v>3.66</v>
      </c>
      <c r="O12">
        <v>39</v>
      </c>
      <c r="P12">
        <v>0.73</v>
      </c>
      <c r="Q12">
        <f>SUM(Q4:Q11)</f>
        <v>1</v>
      </c>
      <c r="R12">
        <f>Q12/D12</f>
        <v>0.33333333333333331</v>
      </c>
      <c r="S12">
        <f>SUM(S4:S11)</f>
        <v>0</v>
      </c>
      <c r="T12">
        <f>S12/D12</f>
        <v>0</v>
      </c>
    </row>
    <row r="13" spans="1:20" ht="21.75" customHeight="1">
      <c r="A13" s="1"/>
      <c r="C13" t="s">
        <v>21</v>
      </c>
    </row>
    <row r="14" spans="1:20">
      <c r="A14" s="1" t="s">
        <v>159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0">
      <c r="A15" s="1" t="s">
        <v>160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24</v>
      </c>
      <c r="O15" s="1" t="s">
        <v>14</v>
      </c>
      <c r="P15" s="1" t="s">
        <v>132</v>
      </c>
      <c r="Q15" s="1" t="s">
        <v>147</v>
      </c>
      <c r="R15" s="1"/>
      <c r="S15" s="1" t="s">
        <v>148</v>
      </c>
      <c r="T15" s="1"/>
    </row>
    <row r="16" spans="1:20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s="1"/>
      <c r="O16" s="1"/>
      <c r="P16" s="1"/>
      <c r="Q16" t="s">
        <v>8</v>
      </c>
      <c r="R16" t="s">
        <v>10</v>
      </c>
      <c r="S16" t="s">
        <v>8</v>
      </c>
      <c r="T16" t="s">
        <v>10</v>
      </c>
    </row>
    <row r="17" spans="1:20">
      <c r="A17" s="1"/>
      <c r="B17">
        <v>1</v>
      </c>
      <c r="C17" t="s">
        <v>0</v>
      </c>
      <c r="D17">
        <v>8</v>
      </c>
      <c r="E17">
        <f>D17/56</f>
        <v>0.14285714285714285</v>
      </c>
      <c r="F17">
        <v>3</v>
      </c>
      <c r="G17">
        <f>F17/D17</f>
        <v>0.375</v>
      </c>
      <c r="H17">
        <v>5</v>
      </c>
      <c r="I17">
        <f>H17/D17</f>
        <v>0.625</v>
      </c>
      <c r="J17">
        <v>0</v>
      </c>
      <c r="K17">
        <f>J17/D17</f>
        <v>0</v>
      </c>
      <c r="L17">
        <v>0</v>
      </c>
      <c r="M17">
        <f>L17/D17</f>
        <v>0</v>
      </c>
      <c r="N17">
        <f t="shared" ref="N17:N25" si="0">(F17*5+H17*4+J17*3+L17*2)/D17</f>
        <v>4.375</v>
      </c>
      <c r="O17">
        <f>445/D17</f>
        <v>55.625</v>
      </c>
      <c r="P17">
        <f>(445)/(70*D17)</f>
        <v>0.7946428571428571</v>
      </c>
      <c r="Q17">
        <v>0</v>
      </c>
      <c r="R17">
        <f>Q17/D17</f>
        <v>0</v>
      </c>
      <c r="S17">
        <v>0</v>
      </c>
      <c r="T17">
        <f>S17/D17</f>
        <v>0</v>
      </c>
    </row>
    <row r="18" spans="1:20">
      <c r="A18" s="1"/>
      <c r="B18">
        <v>2</v>
      </c>
      <c r="C18" t="s">
        <v>1</v>
      </c>
      <c r="D18">
        <v>0</v>
      </c>
      <c r="E18">
        <f>D18/40</f>
        <v>0</v>
      </c>
      <c r="F18">
        <v>0</v>
      </c>
      <c r="G18" t="e">
        <f t="shared" ref="G18:G23" si="1">F18/D18</f>
        <v>#DIV/0!</v>
      </c>
      <c r="H18">
        <v>0</v>
      </c>
      <c r="I18" t="e">
        <f t="shared" ref="I18:I25" si="2">H18/D18</f>
        <v>#DIV/0!</v>
      </c>
      <c r="J18">
        <v>0</v>
      </c>
      <c r="K18" t="e">
        <f t="shared" ref="K18:K25" si="3">J18/D18</f>
        <v>#DIV/0!</v>
      </c>
      <c r="L18">
        <v>0</v>
      </c>
      <c r="M18" t="e">
        <f t="shared" ref="M18:M25" si="4">L18/D18</f>
        <v>#DIV/0!</v>
      </c>
      <c r="N18" t="e">
        <f t="shared" si="0"/>
        <v>#DIV/0!</v>
      </c>
      <c r="O18">
        <v>0</v>
      </c>
      <c r="P18" t="e">
        <f>O18/(70*D18)</f>
        <v>#DIV/0!</v>
      </c>
      <c r="Q18">
        <v>0</v>
      </c>
      <c r="R18" t="e">
        <f t="shared" ref="R18:R25" si="5">Q18/D18</f>
        <v>#DIV/0!</v>
      </c>
      <c r="S18">
        <v>0</v>
      </c>
      <c r="T18" t="e">
        <f t="shared" ref="T18:T25" si="6">S18/D18</f>
        <v>#DIV/0!</v>
      </c>
    </row>
    <row r="19" spans="1:20">
      <c r="A19" s="1"/>
      <c r="B19">
        <v>3</v>
      </c>
      <c r="C19" t="s">
        <v>2</v>
      </c>
      <c r="D19">
        <v>1</v>
      </c>
      <c r="E19">
        <f>D19/101</f>
        <v>9.9009900990099011E-3</v>
      </c>
      <c r="F19">
        <v>0</v>
      </c>
      <c r="G19">
        <f t="shared" si="1"/>
        <v>0</v>
      </c>
      <c r="H19">
        <v>0</v>
      </c>
      <c r="I19">
        <f t="shared" si="2"/>
        <v>0</v>
      </c>
      <c r="J19">
        <v>1</v>
      </c>
      <c r="K19">
        <f t="shared" si="3"/>
        <v>1</v>
      </c>
      <c r="L19">
        <v>0</v>
      </c>
      <c r="M19">
        <f t="shared" si="4"/>
        <v>0</v>
      </c>
      <c r="N19">
        <f t="shared" si="0"/>
        <v>3</v>
      </c>
      <c r="O19">
        <f>33/D19</f>
        <v>33</v>
      </c>
      <c r="P19">
        <f>33/(70*D19)</f>
        <v>0.47142857142857142</v>
      </c>
      <c r="Q19">
        <v>0</v>
      </c>
      <c r="R19">
        <f t="shared" si="5"/>
        <v>0</v>
      </c>
      <c r="S19">
        <v>0</v>
      </c>
      <c r="T19">
        <f t="shared" si="6"/>
        <v>0</v>
      </c>
    </row>
    <row r="20" spans="1:20">
      <c r="A20" s="1"/>
      <c r="B20">
        <v>4</v>
      </c>
      <c r="C20" t="s">
        <v>3</v>
      </c>
      <c r="D20">
        <v>0</v>
      </c>
      <c r="E20">
        <f>D20/46</f>
        <v>0</v>
      </c>
      <c r="F20">
        <v>0</v>
      </c>
      <c r="G20" t="e">
        <f t="shared" si="1"/>
        <v>#DIV/0!</v>
      </c>
      <c r="H20">
        <v>0</v>
      </c>
      <c r="I20" t="e">
        <f t="shared" si="2"/>
        <v>#DIV/0!</v>
      </c>
      <c r="J20">
        <v>0</v>
      </c>
      <c r="K20" t="e">
        <f t="shared" si="3"/>
        <v>#DIV/0!</v>
      </c>
      <c r="L20">
        <v>0</v>
      </c>
      <c r="M20" t="e">
        <f t="shared" si="4"/>
        <v>#DIV/0!</v>
      </c>
      <c r="N20" t="e">
        <f t="shared" si="0"/>
        <v>#DIV/0!</v>
      </c>
      <c r="O20">
        <v>0</v>
      </c>
      <c r="Q20">
        <v>0</v>
      </c>
      <c r="R20" t="e">
        <f t="shared" si="5"/>
        <v>#DIV/0!</v>
      </c>
      <c r="S20">
        <v>0</v>
      </c>
      <c r="T20" t="e">
        <f t="shared" si="6"/>
        <v>#DIV/0!</v>
      </c>
    </row>
    <row r="21" spans="1:20">
      <c r="A21" s="1"/>
      <c r="B21">
        <v>5</v>
      </c>
      <c r="C21" t="s">
        <v>4</v>
      </c>
      <c r="E21">
        <f>D21/6</f>
        <v>0</v>
      </c>
      <c r="G21" t="e">
        <f t="shared" si="1"/>
        <v>#DIV/0!</v>
      </c>
      <c r="I21" t="e">
        <f t="shared" si="2"/>
        <v>#DIV/0!</v>
      </c>
      <c r="K21" t="e">
        <f t="shared" si="3"/>
        <v>#DIV/0!</v>
      </c>
      <c r="M21" t="e">
        <f t="shared" si="4"/>
        <v>#DIV/0!</v>
      </c>
      <c r="N21" t="e">
        <f t="shared" si="0"/>
        <v>#DIV/0!</v>
      </c>
      <c r="O21">
        <v>0</v>
      </c>
      <c r="R21" t="e">
        <f t="shared" si="5"/>
        <v>#DIV/0!</v>
      </c>
      <c r="T21" t="e">
        <f t="shared" si="6"/>
        <v>#DIV/0!</v>
      </c>
    </row>
    <row r="22" spans="1:20">
      <c r="A22" s="1"/>
      <c r="B22">
        <v>6</v>
      </c>
      <c r="C22" t="s">
        <v>5</v>
      </c>
      <c r="E22">
        <f>D22/12</f>
        <v>0</v>
      </c>
      <c r="G22" t="e">
        <f t="shared" si="1"/>
        <v>#DIV/0!</v>
      </c>
      <c r="I22" t="e">
        <f t="shared" si="2"/>
        <v>#DIV/0!</v>
      </c>
      <c r="K22" t="e">
        <f t="shared" si="3"/>
        <v>#DIV/0!</v>
      </c>
      <c r="M22" t="e">
        <f t="shared" si="4"/>
        <v>#DIV/0!</v>
      </c>
      <c r="N22" t="e">
        <f t="shared" si="0"/>
        <v>#DIV/0!</v>
      </c>
      <c r="O22">
        <v>0</v>
      </c>
      <c r="Q22">
        <v>0</v>
      </c>
      <c r="R22" t="e">
        <f t="shared" si="5"/>
        <v>#DIV/0!</v>
      </c>
      <c r="S22">
        <v>0</v>
      </c>
      <c r="T22" t="e">
        <f t="shared" si="6"/>
        <v>#DIV/0!</v>
      </c>
    </row>
    <row r="23" spans="1:20">
      <c r="A23" s="1"/>
      <c r="B23">
        <v>7</v>
      </c>
      <c r="C23" t="s">
        <v>16</v>
      </c>
      <c r="E23">
        <f>D23/6</f>
        <v>0</v>
      </c>
      <c r="G23" t="e">
        <f t="shared" si="1"/>
        <v>#DIV/0!</v>
      </c>
      <c r="I23" t="e">
        <f t="shared" si="2"/>
        <v>#DIV/0!</v>
      </c>
      <c r="K23" t="e">
        <f t="shared" si="3"/>
        <v>#DIV/0!</v>
      </c>
      <c r="M23" t="e">
        <f t="shared" si="4"/>
        <v>#DIV/0!</v>
      </c>
      <c r="N23" t="e">
        <f t="shared" si="0"/>
        <v>#DIV/0!</v>
      </c>
      <c r="O23">
        <v>0</v>
      </c>
      <c r="R23" t="e">
        <f t="shared" si="5"/>
        <v>#DIV/0!</v>
      </c>
      <c r="T23" t="e">
        <f t="shared" si="6"/>
        <v>#DIV/0!</v>
      </c>
    </row>
    <row r="24" spans="1:20">
      <c r="A24" s="1"/>
      <c r="B24">
        <v>8</v>
      </c>
      <c r="C24" t="s">
        <v>17</v>
      </c>
      <c r="E24">
        <f>D24/2</f>
        <v>0</v>
      </c>
      <c r="G24" t="e">
        <f>F24/D24</f>
        <v>#DIV/0!</v>
      </c>
      <c r="I24" t="e">
        <f t="shared" si="2"/>
        <v>#DIV/0!</v>
      </c>
      <c r="K24" t="e">
        <f t="shared" si="3"/>
        <v>#DIV/0!</v>
      </c>
      <c r="M24" t="e">
        <f t="shared" si="4"/>
        <v>#DIV/0!</v>
      </c>
      <c r="N24" t="e">
        <f t="shared" si="0"/>
        <v>#DIV/0!</v>
      </c>
      <c r="O24">
        <v>0</v>
      </c>
      <c r="R24" t="e">
        <f t="shared" si="5"/>
        <v>#DIV/0!</v>
      </c>
      <c r="T24" t="e">
        <f t="shared" si="6"/>
        <v>#DIV/0!</v>
      </c>
    </row>
    <row r="25" spans="1:20">
      <c r="A25" s="1"/>
      <c r="C25" t="s">
        <v>6</v>
      </c>
      <c r="D25">
        <f>D17+D18+D19+D20+D21+D22+D23+D24</f>
        <v>9</v>
      </c>
      <c r="E25">
        <f>D25/257</f>
        <v>3.5019455252918288E-2</v>
      </c>
      <c r="F25">
        <f>SUM(F17:F24)</f>
        <v>3</v>
      </c>
      <c r="G25">
        <f>F25/D25</f>
        <v>0.33333333333333331</v>
      </c>
      <c r="H25">
        <f>SUM(H17:H24)</f>
        <v>5</v>
      </c>
      <c r="I25">
        <f t="shared" si="2"/>
        <v>0.55555555555555558</v>
      </c>
      <c r="J25">
        <f>J17+J18+J19+J20+J21+J22+J23+J24</f>
        <v>1</v>
      </c>
      <c r="K25">
        <f t="shared" si="3"/>
        <v>0.1111111111111111</v>
      </c>
      <c r="L25">
        <v>0</v>
      </c>
      <c r="M25">
        <f t="shared" si="4"/>
        <v>0</v>
      </c>
      <c r="N25">
        <f t="shared" si="0"/>
        <v>4.2222222222222223</v>
      </c>
      <c r="O25">
        <f>478/D25</f>
        <v>53.111111111111114</v>
      </c>
      <c r="P25">
        <f>478/(D25*70)</f>
        <v>0.7587301587301587</v>
      </c>
      <c r="Q25">
        <f>SUM(Q17:Q24)</f>
        <v>0</v>
      </c>
      <c r="R25">
        <f t="shared" si="5"/>
        <v>0</v>
      </c>
      <c r="S25">
        <f>SUM(S17:S24)</f>
        <v>0</v>
      </c>
      <c r="T25">
        <f t="shared" si="6"/>
        <v>0</v>
      </c>
    </row>
    <row r="26" spans="1:20">
      <c r="A26" s="1"/>
      <c r="C26" t="s">
        <v>21</v>
      </c>
      <c r="M26">
        <v>1.29</v>
      </c>
      <c r="N26">
        <v>4.26</v>
      </c>
      <c r="O26">
        <v>55.01</v>
      </c>
    </row>
    <row r="28" spans="1:20">
      <c r="A28" s="1" t="s">
        <v>130</v>
      </c>
      <c r="D28" s="1" t="s">
        <v>7</v>
      </c>
      <c r="E28" s="1"/>
      <c r="F28" s="1" t="s">
        <v>9</v>
      </c>
      <c r="G28" s="1"/>
      <c r="H28" s="1" t="s">
        <v>11</v>
      </c>
      <c r="I28" s="1"/>
      <c r="J28" s="1" t="s">
        <v>12</v>
      </c>
      <c r="K28" s="1"/>
      <c r="L28" s="1" t="s">
        <v>15</v>
      </c>
      <c r="M28" s="1"/>
      <c r="N28" s="1" t="s">
        <v>24</v>
      </c>
      <c r="O28" s="1" t="s">
        <v>14</v>
      </c>
      <c r="P28" s="1" t="s">
        <v>132</v>
      </c>
      <c r="Q28" s="1" t="s">
        <v>147</v>
      </c>
      <c r="R28" s="1"/>
      <c r="S28" s="1" t="s">
        <v>148</v>
      </c>
      <c r="T28" s="1"/>
    </row>
    <row r="29" spans="1:20">
      <c r="A29" s="1"/>
      <c r="D29" t="s">
        <v>8</v>
      </c>
      <c r="E29" t="s">
        <v>19</v>
      </c>
      <c r="F29" t="s">
        <v>8</v>
      </c>
      <c r="G29" t="s">
        <v>10</v>
      </c>
      <c r="H29" t="s">
        <v>8</v>
      </c>
      <c r="I29" t="s">
        <v>10</v>
      </c>
      <c r="J29" t="s">
        <v>8</v>
      </c>
      <c r="K29" t="s">
        <v>10</v>
      </c>
      <c r="L29" t="s">
        <v>8</v>
      </c>
      <c r="M29" t="s">
        <v>10</v>
      </c>
      <c r="N29" s="1"/>
      <c r="O29" s="1"/>
      <c r="P29" s="1"/>
      <c r="Q29" t="s">
        <v>8</v>
      </c>
      <c r="R29" t="s">
        <v>10</v>
      </c>
      <c r="S29" t="s">
        <v>8</v>
      </c>
      <c r="T29" t="s">
        <v>10</v>
      </c>
    </row>
    <row r="30" spans="1:20">
      <c r="A30" s="1"/>
      <c r="B30">
        <v>1</v>
      </c>
      <c r="C30" t="s">
        <v>0</v>
      </c>
      <c r="D30">
        <v>2</v>
      </c>
      <c r="E30">
        <f>D30/51</f>
        <v>3.9215686274509803E-2</v>
      </c>
      <c r="F30">
        <v>1</v>
      </c>
      <c r="G30">
        <f>F30/D30</f>
        <v>0.5</v>
      </c>
      <c r="H30">
        <v>1</v>
      </c>
      <c r="I30">
        <f>H30/D30</f>
        <v>0.5</v>
      </c>
      <c r="K30">
        <f>J30/D30</f>
        <v>0</v>
      </c>
      <c r="M30">
        <f>L30/D30</f>
        <v>0</v>
      </c>
      <c r="N30">
        <f t="shared" ref="N30:N38" si="7">(F30*5+H30*4+J30*3+L30*2)/D30</f>
        <v>4.5</v>
      </c>
      <c r="O30">
        <f>(65+54)/D30</f>
        <v>59.5</v>
      </c>
      <c r="P30">
        <f>(65+54)/(70*D30)</f>
        <v>0.85</v>
      </c>
      <c r="Q30">
        <v>0</v>
      </c>
      <c r="R30">
        <f>Q30/D30</f>
        <v>0</v>
      </c>
      <c r="S30">
        <v>0</v>
      </c>
      <c r="T30">
        <f>S30/D30</f>
        <v>0</v>
      </c>
    </row>
    <row r="31" spans="1:20">
      <c r="A31" s="1"/>
      <c r="B31">
        <v>2</v>
      </c>
      <c r="C31" t="s">
        <v>1</v>
      </c>
      <c r="G31" t="e">
        <f t="shared" ref="G31:G36" si="8">F31/D31</f>
        <v>#DIV/0!</v>
      </c>
      <c r="I31" t="e">
        <f t="shared" ref="I31:I38" si="9">H31/D31</f>
        <v>#DIV/0!</v>
      </c>
      <c r="K31" t="e">
        <f t="shared" ref="K31:K38" si="10">J31/D31</f>
        <v>#DIV/0!</v>
      </c>
      <c r="M31" t="e">
        <f t="shared" ref="M31:M38" si="11">L31/D31</f>
        <v>#DIV/0!</v>
      </c>
      <c r="N31" t="e">
        <f t="shared" si="7"/>
        <v>#DIV/0!</v>
      </c>
      <c r="P31" t="e">
        <f>O31/(70*D31)</f>
        <v>#DIV/0!</v>
      </c>
      <c r="Q31">
        <v>0</v>
      </c>
      <c r="R31" t="e">
        <f t="shared" ref="R31:R38" si="12">Q31/D31</f>
        <v>#DIV/0!</v>
      </c>
      <c r="S31">
        <v>0</v>
      </c>
      <c r="T31" t="e">
        <f t="shared" ref="T31:T38" si="13">S31/D31</f>
        <v>#DIV/0!</v>
      </c>
    </row>
    <row r="32" spans="1:20">
      <c r="A32" s="1"/>
      <c r="B32">
        <v>3</v>
      </c>
      <c r="C32" t="s">
        <v>2</v>
      </c>
      <c r="D32">
        <v>4</v>
      </c>
      <c r="E32">
        <f>D32/97</f>
        <v>4.1237113402061855E-2</v>
      </c>
      <c r="F32">
        <v>0</v>
      </c>
      <c r="G32">
        <f t="shared" si="8"/>
        <v>0</v>
      </c>
      <c r="H32">
        <v>3</v>
      </c>
      <c r="I32">
        <f t="shared" si="9"/>
        <v>0.75</v>
      </c>
      <c r="J32">
        <v>1</v>
      </c>
      <c r="K32">
        <f t="shared" si="10"/>
        <v>0.25</v>
      </c>
      <c r="M32">
        <f t="shared" si="11"/>
        <v>0</v>
      </c>
      <c r="N32">
        <f t="shared" si="7"/>
        <v>3.75</v>
      </c>
      <c r="O32">
        <f>(47+51+55+33)/D32</f>
        <v>46.5</v>
      </c>
      <c r="P32">
        <f>(47+51+55+33)/(70*D32)</f>
        <v>0.66428571428571426</v>
      </c>
      <c r="Q32">
        <v>0</v>
      </c>
      <c r="R32">
        <f t="shared" si="12"/>
        <v>0</v>
      </c>
      <c r="S32">
        <v>0</v>
      </c>
      <c r="T32">
        <f t="shared" si="13"/>
        <v>0</v>
      </c>
    </row>
    <row r="33" spans="1:20">
      <c r="A33" s="1"/>
      <c r="B33">
        <v>4</v>
      </c>
      <c r="C33" t="s">
        <v>3</v>
      </c>
      <c r="D33">
        <v>5</v>
      </c>
      <c r="E33">
        <f>D33/52</f>
        <v>9.6153846153846159E-2</v>
      </c>
      <c r="F33">
        <v>5</v>
      </c>
      <c r="G33">
        <f t="shared" si="8"/>
        <v>1</v>
      </c>
      <c r="I33">
        <f t="shared" si="9"/>
        <v>0</v>
      </c>
      <c r="K33">
        <f t="shared" si="10"/>
        <v>0</v>
      </c>
      <c r="M33">
        <f t="shared" si="11"/>
        <v>0</v>
      </c>
      <c r="N33">
        <f t="shared" si="7"/>
        <v>5</v>
      </c>
      <c r="O33">
        <f>(59+63+64+67+59)/D33</f>
        <v>62.4</v>
      </c>
      <c r="P33">
        <f>(59+63+64+67+59)/(70*D33)</f>
        <v>0.89142857142857146</v>
      </c>
      <c r="Q33">
        <v>0</v>
      </c>
      <c r="R33">
        <f t="shared" si="12"/>
        <v>0</v>
      </c>
      <c r="S33">
        <v>0</v>
      </c>
      <c r="T33">
        <f t="shared" si="13"/>
        <v>0</v>
      </c>
    </row>
    <row r="34" spans="1:20">
      <c r="A34" s="1"/>
      <c r="B34">
        <v>5</v>
      </c>
      <c r="C34" t="s">
        <v>4</v>
      </c>
      <c r="G34" t="e">
        <f t="shared" si="8"/>
        <v>#DIV/0!</v>
      </c>
      <c r="I34" t="e">
        <f t="shared" si="9"/>
        <v>#DIV/0!</v>
      </c>
      <c r="K34" t="e">
        <f t="shared" si="10"/>
        <v>#DIV/0!</v>
      </c>
      <c r="M34" t="e">
        <f t="shared" si="11"/>
        <v>#DIV/0!</v>
      </c>
      <c r="N34" t="e">
        <f t="shared" si="7"/>
        <v>#DIV/0!</v>
      </c>
      <c r="R34" t="e">
        <f t="shared" si="12"/>
        <v>#DIV/0!</v>
      </c>
      <c r="T34" t="e">
        <f t="shared" si="13"/>
        <v>#DIV/0!</v>
      </c>
    </row>
    <row r="35" spans="1:20">
      <c r="A35" s="1"/>
      <c r="B35">
        <v>6</v>
      </c>
      <c r="C35" t="s">
        <v>5</v>
      </c>
      <c r="G35" t="e">
        <f t="shared" si="8"/>
        <v>#DIV/0!</v>
      </c>
      <c r="I35" t="e">
        <f t="shared" si="9"/>
        <v>#DIV/0!</v>
      </c>
      <c r="K35" t="e">
        <f t="shared" si="10"/>
        <v>#DIV/0!</v>
      </c>
      <c r="M35" t="e">
        <f t="shared" si="11"/>
        <v>#DIV/0!</v>
      </c>
      <c r="N35" t="e">
        <f t="shared" si="7"/>
        <v>#DIV/0!</v>
      </c>
      <c r="Q35">
        <v>0</v>
      </c>
      <c r="R35" t="e">
        <f t="shared" si="12"/>
        <v>#DIV/0!</v>
      </c>
      <c r="S35">
        <v>0</v>
      </c>
      <c r="T35" t="e">
        <f t="shared" si="13"/>
        <v>#DIV/0!</v>
      </c>
    </row>
    <row r="36" spans="1:20">
      <c r="A36" s="1"/>
      <c r="B36">
        <v>7</v>
      </c>
      <c r="C36" t="s">
        <v>16</v>
      </c>
      <c r="G36" t="e">
        <f t="shared" si="8"/>
        <v>#DIV/0!</v>
      </c>
      <c r="I36" t="e">
        <f t="shared" si="9"/>
        <v>#DIV/0!</v>
      </c>
      <c r="K36" t="e">
        <f t="shared" si="10"/>
        <v>#DIV/0!</v>
      </c>
      <c r="M36" t="e">
        <f t="shared" si="11"/>
        <v>#DIV/0!</v>
      </c>
      <c r="N36" t="e">
        <f t="shared" si="7"/>
        <v>#DIV/0!</v>
      </c>
      <c r="R36" t="e">
        <f t="shared" si="12"/>
        <v>#DIV/0!</v>
      </c>
      <c r="T36" t="e">
        <f t="shared" si="13"/>
        <v>#DIV/0!</v>
      </c>
    </row>
    <row r="37" spans="1:20">
      <c r="A37" s="1"/>
      <c r="B37">
        <v>8</v>
      </c>
      <c r="C37" t="s">
        <v>17</v>
      </c>
      <c r="G37" t="e">
        <f>F37/D37</f>
        <v>#DIV/0!</v>
      </c>
      <c r="I37" t="e">
        <f t="shared" si="9"/>
        <v>#DIV/0!</v>
      </c>
      <c r="K37" t="e">
        <f t="shared" si="10"/>
        <v>#DIV/0!</v>
      </c>
      <c r="M37" t="e">
        <f t="shared" si="11"/>
        <v>#DIV/0!</v>
      </c>
      <c r="N37" t="e">
        <f t="shared" si="7"/>
        <v>#DIV/0!</v>
      </c>
      <c r="R37" t="e">
        <f t="shared" si="12"/>
        <v>#DIV/0!</v>
      </c>
      <c r="T37" t="e">
        <f t="shared" si="13"/>
        <v>#DIV/0!</v>
      </c>
    </row>
    <row r="38" spans="1:20">
      <c r="A38" s="1"/>
      <c r="C38" t="s">
        <v>6</v>
      </c>
      <c r="D38">
        <f>D30+D31+D32+D33+D34+D35+D36+D37</f>
        <v>11</v>
      </c>
      <c r="E38">
        <f>D38/260</f>
        <v>4.230769230769231E-2</v>
      </c>
      <c r="F38">
        <f>SUM(F30:F37)</f>
        <v>6</v>
      </c>
      <c r="G38">
        <f>F38/D38</f>
        <v>0.54545454545454541</v>
      </c>
      <c r="H38">
        <f>SUM(H30:H37)</f>
        <v>4</v>
      </c>
      <c r="I38">
        <f t="shared" si="9"/>
        <v>0.36363636363636365</v>
      </c>
      <c r="J38">
        <f>J30+J31+J32+J33+J34+J35+J36+J37</f>
        <v>1</v>
      </c>
      <c r="K38">
        <f t="shared" si="10"/>
        <v>9.0909090909090912E-2</v>
      </c>
      <c r="L38">
        <v>0</v>
      </c>
      <c r="M38">
        <f t="shared" si="11"/>
        <v>0</v>
      </c>
      <c r="N38">
        <f t="shared" si="7"/>
        <v>4.4545454545454541</v>
      </c>
      <c r="O38">
        <f>617/D38</f>
        <v>56.090909090909093</v>
      </c>
      <c r="Q38">
        <f>SUM(Q30:Q37)</f>
        <v>0</v>
      </c>
      <c r="R38">
        <f t="shared" si="12"/>
        <v>0</v>
      </c>
      <c r="S38">
        <f>SUM(S30:S37)</f>
        <v>0</v>
      </c>
      <c r="T38">
        <f t="shared" si="13"/>
        <v>0</v>
      </c>
    </row>
    <row r="39" spans="1:20">
      <c r="A39" s="1"/>
      <c r="C39" t="s">
        <v>21</v>
      </c>
    </row>
    <row r="40" spans="1:20">
      <c r="A40" s="1" t="s">
        <v>131</v>
      </c>
      <c r="D40" s="1" t="s">
        <v>7</v>
      </c>
      <c r="E40" s="1"/>
      <c r="F40" s="1" t="s">
        <v>9</v>
      </c>
      <c r="G40" s="1"/>
      <c r="H40" s="1" t="s">
        <v>11</v>
      </c>
      <c r="I40" s="1"/>
      <c r="J40" s="1" t="s">
        <v>12</v>
      </c>
      <c r="K40" s="1"/>
      <c r="L40" s="1" t="s">
        <v>15</v>
      </c>
      <c r="M40" s="1"/>
      <c r="N40" s="1" t="s">
        <v>24</v>
      </c>
      <c r="O40" s="1" t="s">
        <v>14</v>
      </c>
      <c r="P40" s="1" t="s">
        <v>23</v>
      </c>
      <c r="Q40" s="1" t="s">
        <v>37</v>
      </c>
      <c r="R40" s="1"/>
      <c r="S40" s="1" t="s">
        <v>42</v>
      </c>
      <c r="T40" s="1"/>
    </row>
    <row r="41" spans="1:20">
      <c r="A41" s="1"/>
      <c r="D41" t="s">
        <v>8</v>
      </c>
      <c r="E41" t="s">
        <v>19</v>
      </c>
      <c r="F41" t="s">
        <v>8</v>
      </c>
      <c r="G41" t="s">
        <v>10</v>
      </c>
      <c r="H41" t="s">
        <v>8</v>
      </c>
      <c r="I41" t="s">
        <v>10</v>
      </c>
      <c r="J41" t="s">
        <v>8</v>
      </c>
      <c r="K41" t="s">
        <v>10</v>
      </c>
      <c r="L41" t="s">
        <v>8</v>
      </c>
      <c r="M41" t="s">
        <v>10</v>
      </c>
      <c r="N41" s="1"/>
      <c r="O41" s="1"/>
      <c r="P41" s="1"/>
      <c r="Q41" t="s">
        <v>8</v>
      </c>
      <c r="R41" t="s">
        <v>10</v>
      </c>
      <c r="S41" t="s">
        <v>8</v>
      </c>
      <c r="T41" t="s">
        <v>10</v>
      </c>
    </row>
    <row r="42" spans="1:20">
      <c r="A42" s="1"/>
      <c r="B42">
        <v>1</v>
      </c>
      <c r="C42" t="s">
        <v>0</v>
      </c>
      <c r="D42">
        <v>1</v>
      </c>
      <c r="E42">
        <f>D42/53</f>
        <v>1.8867924528301886E-2</v>
      </c>
      <c r="F42">
        <v>1</v>
      </c>
      <c r="G42">
        <f>F42/D42</f>
        <v>1</v>
      </c>
      <c r="I42">
        <f>H42/D42</f>
        <v>0</v>
      </c>
      <c r="K42">
        <f>J42/D42</f>
        <v>0</v>
      </c>
      <c r="M42">
        <f>L42/D42</f>
        <v>0</v>
      </c>
      <c r="N42">
        <v>5</v>
      </c>
      <c r="O42">
        <f>64/D42</f>
        <v>64</v>
      </c>
      <c r="P42">
        <f>O42/(70*D42)</f>
        <v>0.91428571428571426</v>
      </c>
      <c r="Q42">
        <v>0</v>
      </c>
      <c r="R42">
        <f>Q42/D42</f>
        <v>0</v>
      </c>
      <c r="S42">
        <v>0</v>
      </c>
      <c r="T42">
        <f>S42/D42</f>
        <v>0</v>
      </c>
    </row>
    <row r="43" spans="1:20">
      <c r="A43" s="1"/>
      <c r="B43">
        <v>2</v>
      </c>
      <c r="C43" t="s">
        <v>1</v>
      </c>
      <c r="G43" t="e">
        <f t="shared" ref="G43:G48" si="14">F43/D43</f>
        <v>#DIV/0!</v>
      </c>
      <c r="I43" t="e">
        <f t="shared" ref="I43:I50" si="15">H43/D43</f>
        <v>#DIV/0!</v>
      </c>
      <c r="K43" t="e">
        <f t="shared" ref="K43:K50" si="16">J43/D43</f>
        <v>#DIV/0!</v>
      </c>
      <c r="M43" t="e">
        <f t="shared" ref="M43:M50" si="17">L43/D43</f>
        <v>#DIV/0!</v>
      </c>
      <c r="N43" t="e">
        <f t="shared" ref="N43:N50" si="18">(F43*5+H43*4+J43*3+L43*2)/D43</f>
        <v>#DIV/0!</v>
      </c>
      <c r="Q43">
        <v>0</v>
      </c>
      <c r="R43" t="e">
        <f t="shared" ref="R43:R50" si="19">Q43/D43</f>
        <v>#DIV/0!</v>
      </c>
      <c r="S43">
        <v>0</v>
      </c>
      <c r="T43" t="e">
        <f t="shared" ref="T43:T50" si="20">S43/D43</f>
        <v>#DIV/0!</v>
      </c>
    </row>
    <row r="44" spans="1:20">
      <c r="A44" s="1"/>
      <c r="B44">
        <v>3</v>
      </c>
      <c r="C44" t="s">
        <v>2</v>
      </c>
      <c r="E44">
        <f>D44/76</f>
        <v>0</v>
      </c>
      <c r="G44" t="e">
        <f t="shared" si="14"/>
        <v>#DIV/0!</v>
      </c>
      <c r="I44" t="e">
        <f t="shared" si="15"/>
        <v>#DIV/0!</v>
      </c>
      <c r="K44" t="e">
        <f t="shared" si="16"/>
        <v>#DIV/0!</v>
      </c>
      <c r="M44" t="e">
        <f t="shared" si="17"/>
        <v>#DIV/0!</v>
      </c>
      <c r="N44" t="e">
        <f t="shared" si="18"/>
        <v>#DIV/0!</v>
      </c>
      <c r="Q44">
        <v>0</v>
      </c>
      <c r="R44" t="e">
        <f t="shared" si="19"/>
        <v>#DIV/0!</v>
      </c>
      <c r="S44">
        <v>0</v>
      </c>
      <c r="T44" t="e">
        <f t="shared" si="20"/>
        <v>#DIV/0!</v>
      </c>
    </row>
    <row r="45" spans="1:20">
      <c r="A45" s="1"/>
      <c r="B45">
        <v>4</v>
      </c>
      <c r="C45" t="s">
        <v>3</v>
      </c>
      <c r="D45">
        <v>3</v>
      </c>
      <c r="E45">
        <f>D45/42</f>
        <v>7.1428571428571425E-2</v>
      </c>
      <c r="F45">
        <v>1</v>
      </c>
      <c r="G45">
        <f t="shared" si="14"/>
        <v>0.33333333333333331</v>
      </c>
      <c r="H45">
        <v>2</v>
      </c>
      <c r="I45">
        <f t="shared" si="15"/>
        <v>0.66666666666666663</v>
      </c>
      <c r="K45">
        <f t="shared" si="16"/>
        <v>0</v>
      </c>
      <c r="M45">
        <f t="shared" si="17"/>
        <v>0</v>
      </c>
      <c r="N45">
        <f t="shared" si="18"/>
        <v>4.333333333333333</v>
      </c>
      <c r="O45">
        <f>(63+54+51)/D45</f>
        <v>56</v>
      </c>
      <c r="P45">
        <f>(63+54+51)/(70*D45)</f>
        <v>0.8</v>
      </c>
      <c r="Q45">
        <v>0</v>
      </c>
      <c r="R45">
        <f t="shared" si="19"/>
        <v>0</v>
      </c>
      <c r="S45">
        <v>0</v>
      </c>
      <c r="T45">
        <f t="shared" si="20"/>
        <v>0</v>
      </c>
    </row>
    <row r="46" spans="1:20">
      <c r="A46" s="1"/>
      <c r="B46">
        <v>5</v>
      </c>
      <c r="C46" t="s">
        <v>4</v>
      </c>
      <c r="G46" t="e">
        <f t="shared" si="14"/>
        <v>#DIV/0!</v>
      </c>
      <c r="I46" t="e">
        <f t="shared" si="15"/>
        <v>#DIV/0!</v>
      </c>
      <c r="K46" t="e">
        <f t="shared" si="16"/>
        <v>#DIV/0!</v>
      </c>
      <c r="M46" t="e">
        <f t="shared" si="17"/>
        <v>#DIV/0!</v>
      </c>
      <c r="N46" t="e">
        <f t="shared" si="18"/>
        <v>#DIV/0!</v>
      </c>
      <c r="R46" t="e">
        <f t="shared" si="19"/>
        <v>#DIV/0!</v>
      </c>
      <c r="T46" t="e">
        <f t="shared" si="20"/>
        <v>#DIV/0!</v>
      </c>
    </row>
    <row r="47" spans="1:20">
      <c r="A47" s="1"/>
      <c r="B47">
        <v>6</v>
      </c>
      <c r="C47" t="s">
        <v>5</v>
      </c>
      <c r="G47" t="e">
        <f t="shared" si="14"/>
        <v>#DIV/0!</v>
      </c>
      <c r="I47" t="e">
        <f t="shared" si="15"/>
        <v>#DIV/0!</v>
      </c>
      <c r="K47" t="e">
        <f t="shared" si="16"/>
        <v>#DIV/0!</v>
      </c>
      <c r="M47" t="e">
        <f t="shared" si="17"/>
        <v>#DIV/0!</v>
      </c>
      <c r="N47" t="e">
        <f t="shared" si="18"/>
        <v>#DIV/0!</v>
      </c>
      <c r="R47" t="e">
        <f t="shared" si="19"/>
        <v>#DIV/0!</v>
      </c>
      <c r="T47" t="e">
        <f t="shared" si="20"/>
        <v>#DIV/0!</v>
      </c>
    </row>
    <row r="48" spans="1:20">
      <c r="A48" s="1"/>
      <c r="B48">
        <v>7</v>
      </c>
      <c r="C48" t="s">
        <v>16</v>
      </c>
      <c r="G48" t="e">
        <f t="shared" si="14"/>
        <v>#DIV/0!</v>
      </c>
      <c r="I48" t="e">
        <f t="shared" si="15"/>
        <v>#DIV/0!</v>
      </c>
      <c r="K48" t="e">
        <f t="shared" si="16"/>
        <v>#DIV/0!</v>
      </c>
      <c r="M48" t="e">
        <f t="shared" si="17"/>
        <v>#DIV/0!</v>
      </c>
      <c r="N48" t="e">
        <f t="shared" si="18"/>
        <v>#DIV/0!</v>
      </c>
      <c r="R48" t="e">
        <f t="shared" si="19"/>
        <v>#DIV/0!</v>
      </c>
      <c r="T48" t="e">
        <f t="shared" si="20"/>
        <v>#DIV/0!</v>
      </c>
    </row>
    <row r="49" spans="1:20">
      <c r="A49" s="1"/>
      <c r="B49">
        <v>8</v>
      </c>
      <c r="C49" t="s">
        <v>17</v>
      </c>
      <c r="G49" t="e">
        <f>F49/D49</f>
        <v>#DIV/0!</v>
      </c>
      <c r="I49" t="e">
        <f t="shared" si="15"/>
        <v>#DIV/0!</v>
      </c>
      <c r="K49" t="e">
        <f t="shared" si="16"/>
        <v>#DIV/0!</v>
      </c>
      <c r="M49" t="e">
        <f t="shared" si="17"/>
        <v>#DIV/0!</v>
      </c>
      <c r="N49" t="e">
        <f t="shared" si="18"/>
        <v>#DIV/0!</v>
      </c>
      <c r="R49" t="e">
        <f t="shared" si="19"/>
        <v>#DIV/0!</v>
      </c>
      <c r="T49" t="e">
        <f t="shared" si="20"/>
        <v>#DIV/0!</v>
      </c>
    </row>
    <row r="50" spans="1:20">
      <c r="A50" s="1"/>
      <c r="C50" t="s">
        <v>6</v>
      </c>
      <c r="D50">
        <f>SUM(D42:D47)</f>
        <v>4</v>
      </c>
      <c r="E50">
        <f>D50/262</f>
        <v>1.5267175572519083E-2</v>
      </c>
      <c r="F50">
        <f>SUM(F42:F49)</f>
        <v>2</v>
      </c>
      <c r="G50">
        <f>F50/D50</f>
        <v>0.5</v>
      </c>
      <c r="H50">
        <f>SUM(H42:H49)</f>
        <v>2</v>
      </c>
      <c r="I50">
        <f t="shared" si="15"/>
        <v>0.5</v>
      </c>
      <c r="J50">
        <v>0</v>
      </c>
      <c r="K50">
        <f t="shared" si="16"/>
        <v>0</v>
      </c>
      <c r="L50">
        <v>0</v>
      </c>
      <c r="M50">
        <f t="shared" si="17"/>
        <v>0</v>
      </c>
      <c r="N50">
        <f t="shared" si="18"/>
        <v>4.5</v>
      </c>
      <c r="O50">
        <f>(64+63+54+51)/D50</f>
        <v>58</v>
      </c>
      <c r="P50">
        <f>232/(D50*70)</f>
        <v>0.82857142857142863</v>
      </c>
      <c r="Q50">
        <f>SUM(Q42:Q49)</f>
        <v>0</v>
      </c>
      <c r="R50">
        <f t="shared" si="19"/>
        <v>0</v>
      </c>
      <c r="S50">
        <f>SUM(S42:S49)</f>
        <v>0</v>
      </c>
      <c r="T50">
        <f t="shared" si="20"/>
        <v>0</v>
      </c>
    </row>
    <row r="51" spans="1:20">
      <c r="A51" s="1"/>
      <c r="C51" t="s">
        <v>21</v>
      </c>
    </row>
  </sheetData>
  <mergeCells count="46">
    <mergeCell ref="Q2:R2"/>
    <mergeCell ref="S2:T2"/>
    <mergeCell ref="A1:O1"/>
    <mergeCell ref="A2:A13"/>
    <mergeCell ref="D2:E2"/>
    <mergeCell ref="F2:G2"/>
    <mergeCell ref="H2:I2"/>
    <mergeCell ref="J2:K2"/>
    <mergeCell ref="L2:M2"/>
    <mergeCell ref="N2:N3"/>
    <mergeCell ref="O2:O3"/>
    <mergeCell ref="N28:N29"/>
    <mergeCell ref="P40:P41"/>
    <mergeCell ref="N40:N41"/>
    <mergeCell ref="O40:O41"/>
    <mergeCell ref="O28:O29"/>
    <mergeCell ref="P28:P29"/>
    <mergeCell ref="N15:N16"/>
    <mergeCell ref="A14:O14"/>
    <mergeCell ref="P15:P16"/>
    <mergeCell ref="P2:P3"/>
    <mergeCell ref="A28:A39"/>
    <mergeCell ref="A40:A51"/>
    <mergeCell ref="D28:E28"/>
    <mergeCell ref="F28:G28"/>
    <mergeCell ref="H28:I28"/>
    <mergeCell ref="D40:E40"/>
    <mergeCell ref="F40:G40"/>
    <mergeCell ref="H40:I40"/>
    <mergeCell ref="J28:K28"/>
    <mergeCell ref="Q28:R28"/>
    <mergeCell ref="S28:T28"/>
    <mergeCell ref="Q40:R40"/>
    <mergeCell ref="S40:T40"/>
    <mergeCell ref="J40:K40"/>
    <mergeCell ref="L40:M40"/>
    <mergeCell ref="L28:M28"/>
    <mergeCell ref="Q15:R15"/>
    <mergeCell ref="S15:T15"/>
    <mergeCell ref="A15:A26"/>
    <mergeCell ref="D15:E15"/>
    <mergeCell ref="F15:G15"/>
    <mergeCell ref="H15:I15"/>
    <mergeCell ref="J15:K15"/>
    <mergeCell ref="L15:M15"/>
    <mergeCell ref="O15:O16"/>
  </mergeCells>
  <pageMargins left="0.7" right="0.7" top="0.75" bottom="0.75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2"/>
  <sheetViews>
    <sheetView view="pageBreakPreview" topLeftCell="F1" zoomScale="80" zoomScaleSheetLayoutView="80" workbookViewId="0">
      <selection activeCell="Q10" sqref="Q10"/>
    </sheetView>
  </sheetViews>
  <sheetFormatPr defaultRowHeight="15"/>
  <cols>
    <col min="2" max="2" width="7.140625" customWidth="1"/>
    <col min="3" max="3" width="9.28515625" bestFit="1" customWidth="1"/>
    <col min="4" max="4" width="8.140625" customWidth="1"/>
    <col min="5" max="5" width="9.28515625" bestFit="1" customWidth="1"/>
    <col min="6" max="6" width="6.42578125" customWidth="1"/>
    <col min="7" max="7" width="13.28515625" bestFit="1" customWidth="1"/>
    <col min="8" max="8" width="11.5703125" customWidth="1"/>
    <col min="9" max="9" width="9.7109375" bestFit="1" customWidth="1"/>
    <col min="10" max="10" width="8.42578125" customWidth="1"/>
    <col min="12" max="12" width="3.5703125" customWidth="1"/>
    <col min="14" max="14" width="4.28515625" customWidth="1"/>
    <col min="15" max="15" width="7.140625" customWidth="1"/>
    <col min="16" max="16" width="6" customWidth="1"/>
    <col min="17" max="17" width="11.5703125" bestFit="1" customWidth="1"/>
    <col min="23" max="23" width="6.7109375" customWidth="1"/>
    <col min="24" max="24" width="6" customWidth="1"/>
    <col min="25" max="25" width="6.85546875" customWidth="1"/>
    <col min="26" max="26" width="4.140625" customWidth="1"/>
  </cols>
  <sheetData>
    <row r="1" spans="1:31">
      <c r="B1" s="1" t="s">
        <v>211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1" ht="75.75" customHeight="1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172</v>
      </c>
      <c r="O2" s="1"/>
      <c r="P2" s="1" t="s">
        <v>24</v>
      </c>
      <c r="Q2" s="1" t="s">
        <v>14</v>
      </c>
      <c r="R2" s="1" t="s">
        <v>214</v>
      </c>
      <c r="S2" s="1" t="s">
        <v>229</v>
      </c>
      <c r="T2" s="1"/>
      <c r="U2" s="1" t="s">
        <v>224</v>
      </c>
      <c r="V2" s="1"/>
      <c r="W2" s="1" t="s">
        <v>173</v>
      </c>
      <c r="X2" s="1"/>
      <c r="Y2" s="1"/>
      <c r="Z2" s="1" t="s">
        <v>225</v>
      </c>
      <c r="AA2" s="1"/>
      <c r="AB2" s="1" t="s">
        <v>213</v>
      </c>
      <c r="AC2" s="1"/>
    </row>
    <row r="3" spans="1:31" ht="108" customHeight="1">
      <c r="A3" s="1"/>
      <c r="D3" t="s">
        <v>8</v>
      </c>
      <c r="E3" t="s">
        <v>20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t="s">
        <v>8</v>
      </c>
      <c r="O3" t="s">
        <v>10</v>
      </c>
      <c r="P3" s="1"/>
      <c r="Q3" s="1"/>
      <c r="R3" s="1"/>
      <c r="S3" t="s">
        <v>8</v>
      </c>
      <c r="T3" t="s">
        <v>10</v>
      </c>
      <c r="U3" t="s">
        <v>8</v>
      </c>
      <c r="V3" t="s">
        <v>10</v>
      </c>
      <c r="X3" t="s">
        <v>26</v>
      </c>
      <c r="Y3" t="s">
        <v>27</v>
      </c>
      <c r="Z3" t="s">
        <v>8</v>
      </c>
      <c r="AA3" t="s">
        <v>10</v>
      </c>
      <c r="AB3" t="s">
        <v>8</v>
      </c>
      <c r="AC3" t="s">
        <v>10</v>
      </c>
      <c r="AD3" t="s">
        <v>178</v>
      </c>
    </row>
    <row r="4" spans="1:31" ht="15.75" customHeight="1">
      <c r="A4" s="1"/>
      <c r="B4">
        <v>1</v>
      </c>
      <c r="C4" t="s">
        <v>0</v>
      </c>
      <c r="D4">
        <v>56</v>
      </c>
      <c r="E4">
        <f>D4/57</f>
        <v>0.98245614035087714</v>
      </c>
      <c r="F4">
        <v>11</v>
      </c>
      <c r="G4">
        <f>F4/D4</f>
        <v>0.19642857142857142</v>
      </c>
      <c r="H4">
        <v>24</v>
      </c>
      <c r="I4">
        <f>H4/D4</f>
        <v>0.42857142857142855</v>
      </c>
      <c r="J4">
        <v>20</v>
      </c>
      <c r="K4">
        <f>J4/D4</f>
        <v>0.35714285714285715</v>
      </c>
      <c r="L4">
        <v>1</v>
      </c>
      <c r="M4">
        <f>L4/D4</f>
        <v>1.7857142857142856E-2</v>
      </c>
      <c r="P4">
        <f>(F4*5+H4*4+J4*3+L4*2)/D4</f>
        <v>3.8035714285714284</v>
      </c>
      <c r="Q4">
        <f>931/D4</f>
        <v>16.625</v>
      </c>
      <c r="R4">
        <f>Q4/31</f>
        <v>0.53629032258064513</v>
      </c>
      <c r="S4">
        <v>2</v>
      </c>
      <c r="T4">
        <f>S4/D4</f>
        <v>3.5714285714285712E-2</v>
      </c>
      <c r="U4">
        <v>3</v>
      </c>
      <c r="V4">
        <f>U4/D4</f>
        <v>5.3571428571428568E-2</v>
      </c>
      <c r="X4">
        <f>Q4-Y4</f>
        <v>11.525</v>
      </c>
      <c r="Y4">
        <v>5.0999999999999996</v>
      </c>
      <c r="Z4">
        <v>3</v>
      </c>
      <c r="AA4">
        <f>Z4/D4</f>
        <v>5.3571428571428568E-2</v>
      </c>
      <c r="AB4">
        <v>1</v>
      </c>
      <c r="AC4">
        <f>AB4/D4</f>
        <v>1.7857142857142856E-2</v>
      </c>
      <c r="AE4">
        <f>F4+H4+J4</f>
        <v>55</v>
      </c>
    </row>
    <row r="5" spans="1:31" ht="15.75" customHeight="1">
      <c r="A5" s="1"/>
      <c r="B5">
        <v>2</v>
      </c>
      <c r="C5" t="s">
        <v>1</v>
      </c>
      <c r="D5">
        <v>46</v>
      </c>
      <c r="E5">
        <f>D5/60</f>
        <v>0.76666666666666672</v>
      </c>
      <c r="F5">
        <v>0</v>
      </c>
      <c r="G5">
        <f t="shared" ref="G5:G12" si="0">F5/D5</f>
        <v>0</v>
      </c>
      <c r="H5">
        <v>15</v>
      </c>
      <c r="I5">
        <f t="shared" ref="I5:I12" si="1">H5/D5</f>
        <v>0.32608695652173914</v>
      </c>
      <c r="J5">
        <v>31</v>
      </c>
      <c r="K5">
        <f t="shared" ref="K5:K12" si="2">J5/D5</f>
        <v>0.67391304347826086</v>
      </c>
      <c r="L5">
        <v>0</v>
      </c>
      <c r="M5">
        <f t="shared" ref="M5:M12" si="3">L5/D5</f>
        <v>0</v>
      </c>
      <c r="P5">
        <f t="shared" ref="P5:P11" si="4">(F5*5+H5*4+J5*3+2*N5)/D5</f>
        <v>3.3260869565217392</v>
      </c>
      <c r="Q5">
        <f>603/D5</f>
        <v>13.108695652173912</v>
      </c>
      <c r="R5">
        <f t="shared" ref="R5:R12" si="5">Q5/31</f>
        <v>0.4228611500701262</v>
      </c>
      <c r="S5">
        <v>6</v>
      </c>
      <c r="T5">
        <f t="shared" ref="T5:T12" si="6">S5/D5</f>
        <v>0.13043478260869565</v>
      </c>
      <c r="U5">
        <v>0</v>
      </c>
      <c r="V5">
        <f t="shared" ref="V5:V12" si="7">U5/D5</f>
        <v>0</v>
      </c>
      <c r="X5">
        <f t="shared" ref="X5:X11" si="8">Q5-Y5</f>
        <v>9.2086956521739118</v>
      </c>
      <c r="Y5">
        <v>3.9</v>
      </c>
      <c r="Z5">
        <v>0</v>
      </c>
      <c r="AA5">
        <f t="shared" ref="AA5:AA12" si="9">Z5/D5</f>
        <v>0</v>
      </c>
      <c r="AB5">
        <v>0</v>
      </c>
      <c r="AC5">
        <f t="shared" ref="AC5:AC12" si="10">AB5/D5</f>
        <v>0</v>
      </c>
    </row>
    <row r="6" spans="1:31" ht="16.5" customHeight="1">
      <c r="A6" s="1"/>
      <c r="B6">
        <v>3</v>
      </c>
      <c r="C6" t="s">
        <v>2</v>
      </c>
      <c r="D6">
        <v>86</v>
      </c>
      <c r="E6">
        <f>D6/108</f>
        <v>0.79629629629629628</v>
      </c>
      <c r="F6">
        <v>5</v>
      </c>
      <c r="G6">
        <v>5.8000000000000003E-2</v>
      </c>
      <c r="H6">
        <v>40</v>
      </c>
      <c r="I6">
        <f t="shared" si="1"/>
        <v>0.46511627906976744</v>
      </c>
      <c r="J6">
        <v>40</v>
      </c>
      <c r="K6">
        <f t="shared" si="2"/>
        <v>0.46511627906976744</v>
      </c>
      <c r="L6">
        <v>1</v>
      </c>
      <c r="M6">
        <f t="shared" si="3"/>
        <v>1.1627906976744186E-2</v>
      </c>
      <c r="P6">
        <f>(F6*5+H6*4+J6*3)/D6</f>
        <v>3.5465116279069768</v>
      </c>
      <c r="Q6">
        <f>1270/D6</f>
        <v>14.767441860465116</v>
      </c>
      <c r="R6">
        <f t="shared" si="5"/>
        <v>0.47636909227306823</v>
      </c>
      <c r="S6">
        <v>7</v>
      </c>
      <c r="T6">
        <f t="shared" si="6"/>
        <v>8.1395348837209308E-2</v>
      </c>
      <c r="U6">
        <v>1</v>
      </c>
      <c r="V6">
        <f t="shared" si="7"/>
        <v>1.1627906976744186E-2</v>
      </c>
      <c r="X6">
        <f t="shared" si="8"/>
        <v>10.367441860465116</v>
      </c>
      <c r="Y6">
        <v>4.4000000000000004</v>
      </c>
      <c r="Z6">
        <v>1</v>
      </c>
      <c r="AA6">
        <f t="shared" si="9"/>
        <v>1.1627906976744186E-2</v>
      </c>
      <c r="AB6">
        <v>0</v>
      </c>
      <c r="AC6">
        <f t="shared" si="10"/>
        <v>0</v>
      </c>
      <c r="AD6">
        <f>F6+H6+J6</f>
        <v>85</v>
      </c>
    </row>
    <row r="7" spans="1:31" ht="16.5" customHeight="1">
      <c r="A7" s="1"/>
      <c r="B7">
        <v>4</v>
      </c>
      <c r="C7" t="s">
        <v>3</v>
      </c>
      <c r="D7">
        <v>69</v>
      </c>
      <c r="E7">
        <f>D7/84</f>
        <v>0.8214285714285714</v>
      </c>
      <c r="F7">
        <v>2</v>
      </c>
      <c r="G7">
        <f t="shared" si="0"/>
        <v>2.8985507246376812E-2</v>
      </c>
      <c r="H7">
        <v>32</v>
      </c>
      <c r="I7">
        <f t="shared" si="1"/>
        <v>0.46376811594202899</v>
      </c>
      <c r="J7">
        <v>35</v>
      </c>
      <c r="K7">
        <f t="shared" si="2"/>
        <v>0.50724637681159424</v>
      </c>
      <c r="L7">
        <v>9</v>
      </c>
      <c r="M7">
        <f t="shared" si="3"/>
        <v>0.13043478260869565</v>
      </c>
      <c r="P7">
        <f>(F7*5+H7*4+J7*3)/D7</f>
        <v>3.5217391304347827</v>
      </c>
      <c r="Q7">
        <f>1008/D7</f>
        <v>14.608695652173912</v>
      </c>
      <c r="R7">
        <f t="shared" si="5"/>
        <v>0.47124824684431976</v>
      </c>
      <c r="S7">
        <v>5</v>
      </c>
      <c r="T7">
        <f t="shared" si="6"/>
        <v>7.2463768115942032E-2</v>
      </c>
      <c r="U7">
        <v>0</v>
      </c>
      <c r="V7">
        <f t="shared" si="7"/>
        <v>0</v>
      </c>
      <c r="X7">
        <f t="shared" si="8"/>
        <v>10.208695652173912</v>
      </c>
      <c r="Y7">
        <v>4.4000000000000004</v>
      </c>
      <c r="Z7">
        <v>0</v>
      </c>
      <c r="AA7">
        <f t="shared" si="9"/>
        <v>0</v>
      </c>
      <c r="AB7">
        <v>0</v>
      </c>
      <c r="AC7">
        <f t="shared" si="10"/>
        <v>0</v>
      </c>
      <c r="AD7">
        <f>F7+H7+J7</f>
        <v>69</v>
      </c>
    </row>
    <row r="8" spans="1:31" ht="31.5" customHeight="1">
      <c r="A8" s="1"/>
      <c r="B8">
        <v>5</v>
      </c>
      <c r="C8" t="s">
        <v>4</v>
      </c>
      <c r="D8">
        <v>2</v>
      </c>
      <c r="E8">
        <f>D8/6</f>
        <v>0.33333333333333331</v>
      </c>
      <c r="F8">
        <v>0</v>
      </c>
      <c r="G8">
        <f t="shared" si="0"/>
        <v>0</v>
      </c>
      <c r="H8">
        <v>0</v>
      </c>
      <c r="I8">
        <f t="shared" si="1"/>
        <v>0</v>
      </c>
      <c r="J8">
        <v>2</v>
      </c>
      <c r="K8">
        <f t="shared" si="2"/>
        <v>1</v>
      </c>
      <c r="L8">
        <v>0</v>
      </c>
      <c r="M8">
        <f t="shared" si="3"/>
        <v>0</v>
      </c>
      <c r="P8">
        <f t="shared" si="4"/>
        <v>3</v>
      </c>
      <c r="Q8">
        <f>28/D8</f>
        <v>14</v>
      </c>
      <c r="R8">
        <f t="shared" si="5"/>
        <v>0.45161290322580644</v>
      </c>
      <c r="S8">
        <v>0</v>
      </c>
      <c r="T8">
        <f t="shared" si="6"/>
        <v>0</v>
      </c>
      <c r="U8">
        <v>0</v>
      </c>
      <c r="V8">
        <f t="shared" si="7"/>
        <v>0</v>
      </c>
      <c r="X8">
        <f t="shared" si="8"/>
        <v>9.5</v>
      </c>
      <c r="Y8">
        <v>4.5</v>
      </c>
      <c r="Z8">
        <v>0</v>
      </c>
      <c r="AA8">
        <f t="shared" si="9"/>
        <v>0</v>
      </c>
      <c r="AB8">
        <v>0</v>
      </c>
      <c r="AC8">
        <f t="shared" si="10"/>
        <v>0</v>
      </c>
    </row>
    <row r="9" spans="1:31" ht="60.75" customHeight="1">
      <c r="A9" s="1"/>
      <c r="B9">
        <v>6</v>
      </c>
      <c r="C9" t="s">
        <v>5</v>
      </c>
      <c r="D9">
        <v>13</v>
      </c>
      <c r="E9">
        <f>D9/17</f>
        <v>0.76470588235294112</v>
      </c>
      <c r="F9">
        <v>0</v>
      </c>
      <c r="G9">
        <f t="shared" si="0"/>
        <v>0</v>
      </c>
      <c r="H9">
        <v>2</v>
      </c>
      <c r="I9">
        <f>H9/D9</f>
        <v>0.15384615384615385</v>
      </c>
      <c r="J9">
        <v>10</v>
      </c>
      <c r="K9">
        <f>J9/D9</f>
        <v>0.76923076923076927</v>
      </c>
      <c r="L9">
        <v>4</v>
      </c>
      <c r="M9">
        <f t="shared" si="3"/>
        <v>0.30769230769230771</v>
      </c>
      <c r="P9">
        <f>(F9*5+H9*4+J9*3+2)/D9</f>
        <v>3.0769230769230771</v>
      </c>
      <c r="Q9">
        <v>10.8</v>
      </c>
      <c r="R9">
        <f t="shared" si="5"/>
        <v>0.34838709677419355</v>
      </c>
      <c r="S9">
        <v>4</v>
      </c>
      <c r="T9">
        <f t="shared" si="6"/>
        <v>0.30769230769230771</v>
      </c>
      <c r="U9">
        <v>0</v>
      </c>
      <c r="V9">
        <f t="shared" si="7"/>
        <v>0</v>
      </c>
      <c r="X9">
        <f t="shared" si="8"/>
        <v>7.3000000000000007</v>
      </c>
      <c r="Y9">
        <v>3.5</v>
      </c>
      <c r="Z9">
        <v>0</v>
      </c>
      <c r="AA9">
        <f t="shared" si="9"/>
        <v>0</v>
      </c>
      <c r="AB9">
        <v>0</v>
      </c>
      <c r="AC9">
        <f t="shared" si="10"/>
        <v>0</v>
      </c>
    </row>
    <row r="10" spans="1:31" ht="47.25" customHeight="1">
      <c r="A10" s="1"/>
      <c r="B10">
        <v>7</v>
      </c>
      <c r="C10" t="s">
        <v>16</v>
      </c>
      <c r="D10">
        <v>6</v>
      </c>
      <c r="E10">
        <f>D10/9</f>
        <v>0.66666666666666663</v>
      </c>
      <c r="F10">
        <v>0</v>
      </c>
      <c r="G10">
        <f t="shared" si="0"/>
        <v>0</v>
      </c>
      <c r="H10">
        <v>1</v>
      </c>
      <c r="I10">
        <f t="shared" si="1"/>
        <v>0.16666666666666666</v>
      </c>
      <c r="J10">
        <v>4</v>
      </c>
      <c r="K10">
        <f t="shared" si="2"/>
        <v>0.66666666666666663</v>
      </c>
      <c r="L10">
        <v>1</v>
      </c>
      <c r="M10">
        <f t="shared" si="3"/>
        <v>0.16666666666666666</v>
      </c>
      <c r="N10">
        <v>1</v>
      </c>
      <c r="O10">
        <f>N10/D10</f>
        <v>0.16666666666666666</v>
      </c>
      <c r="P10">
        <f>(F10*5+H10*4+J10*3+2*N10)/D10</f>
        <v>3</v>
      </c>
      <c r="Q10">
        <f>55/D10</f>
        <v>9.1666666666666661</v>
      </c>
      <c r="R10">
        <f t="shared" si="5"/>
        <v>0.29569892473118276</v>
      </c>
      <c r="S10">
        <v>3</v>
      </c>
      <c r="T10">
        <f t="shared" si="6"/>
        <v>0.5</v>
      </c>
      <c r="U10">
        <v>0</v>
      </c>
      <c r="V10">
        <f t="shared" si="7"/>
        <v>0</v>
      </c>
      <c r="X10">
        <f t="shared" si="8"/>
        <v>6.1666666666666661</v>
      </c>
      <c r="Y10">
        <v>3</v>
      </c>
      <c r="Z10">
        <v>0</v>
      </c>
      <c r="AA10">
        <f t="shared" si="9"/>
        <v>0</v>
      </c>
      <c r="AB10">
        <v>0</v>
      </c>
      <c r="AC10">
        <f t="shared" si="10"/>
        <v>0</v>
      </c>
    </row>
    <row r="11" spans="1:31" ht="49.5" customHeight="1">
      <c r="A11" s="1"/>
      <c r="B11">
        <v>8</v>
      </c>
      <c r="C11" t="s">
        <v>17</v>
      </c>
      <c r="D11">
        <v>3</v>
      </c>
      <c r="E11">
        <f>D11/3</f>
        <v>1</v>
      </c>
      <c r="F11">
        <v>1</v>
      </c>
      <c r="G11">
        <f t="shared" si="0"/>
        <v>0.33333333333333331</v>
      </c>
      <c r="H11">
        <v>1</v>
      </c>
      <c r="I11">
        <f t="shared" si="1"/>
        <v>0.33333333333333331</v>
      </c>
      <c r="J11">
        <v>1</v>
      </c>
      <c r="K11">
        <f t="shared" si="2"/>
        <v>0.33333333333333331</v>
      </c>
      <c r="L11">
        <v>0</v>
      </c>
      <c r="M11">
        <f t="shared" si="3"/>
        <v>0</v>
      </c>
      <c r="O11">
        <f>N11/D11</f>
        <v>0</v>
      </c>
      <c r="P11">
        <f t="shared" si="4"/>
        <v>4</v>
      </c>
      <c r="Q11">
        <f>54/D11</f>
        <v>18</v>
      </c>
      <c r="R11">
        <f t="shared" si="5"/>
        <v>0.58064516129032262</v>
      </c>
      <c r="S11">
        <v>0</v>
      </c>
      <c r="T11">
        <f t="shared" si="6"/>
        <v>0</v>
      </c>
      <c r="U11">
        <v>0</v>
      </c>
      <c r="V11">
        <f t="shared" si="7"/>
        <v>0</v>
      </c>
      <c r="X11">
        <f t="shared" si="8"/>
        <v>11.3</v>
      </c>
      <c r="Y11">
        <v>6.7</v>
      </c>
      <c r="Z11">
        <v>0</v>
      </c>
      <c r="AA11">
        <f t="shared" si="9"/>
        <v>0</v>
      </c>
      <c r="AB11">
        <v>0</v>
      </c>
      <c r="AC11">
        <f t="shared" si="10"/>
        <v>0</v>
      </c>
    </row>
    <row r="12" spans="1:31">
      <c r="A12" s="1"/>
      <c r="C12" t="s">
        <v>6</v>
      </c>
      <c r="D12">
        <f>SUM(D4:D11)</f>
        <v>281</v>
      </c>
      <c r="E12">
        <f>D12/344</f>
        <v>0.81686046511627908</v>
      </c>
      <c r="F12">
        <f>SUM(F4:F11)</f>
        <v>19</v>
      </c>
      <c r="G12">
        <f t="shared" si="0"/>
        <v>6.7615658362989328E-2</v>
      </c>
      <c r="H12">
        <f>SUM(H4:H11)</f>
        <v>115</v>
      </c>
      <c r="I12">
        <f t="shared" si="1"/>
        <v>0.40925266903914592</v>
      </c>
      <c r="J12">
        <f>SUM(J4:J11)</f>
        <v>143</v>
      </c>
      <c r="K12">
        <f t="shared" si="2"/>
        <v>0.50889679715302494</v>
      </c>
      <c r="L12">
        <f>SUM(L4:L11)</f>
        <v>16</v>
      </c>
      <c r="M12">
        <f t="shared" si="3"/>
        <v>5.6939501779359428E-2</v>
      </c>
      <c r="N12">
        <f>SUM(N4:N11)</f>
        <v>1</v>
      </c>
      <c r="O12">
        <v>3.5999999999999999E-3</v>
      </c>
      <c r="P12">
        <f>(F12*5+H12*4+J12*3+2*N12)/D12</f>
        <v>3.5088967971530249</v>
      </c>
      <c r="Q12">
        <v>14.6</v>
      </c>
      <c r="R12">
        <f t="shared" si="5"/>
        <v>0.47096774193548385</v>
      </c>
      <c r="S12">
        <f>SUM(S4:S11)</f>
        <v>27</v>
      </c>
      <c r="T12">
        <f t="shared" si="6"/>
        <v>9.6085409252669035E-2</v>
      </c>
      <c r="U12">
        <f>SUM(U4:U11)</f>
        <v>4</v>
      </c>
      <c r="V12">
        <f t="shared" si="7"/>
        <v>1.4234875444839857E-2</v>
      </c>
      <c r="Y12">
        <v>4.4000000000000004</v>
      </c>
      <c r="Z12">
        <f>SUM(Z4:Z11)</f>
        <v>4</v>
      </c>
      <c r="AA12">
        <f t="shared" si="9"/>
        <v>1.4234875444839857E-2</v>
      </c>
      <c r="AB12">
        <f>SUM(AB4:AB11)</f>
        <v>1</v>
      </c>
      <c r="AC12">
        <f t="shared" si="10"/>
        <v>3.5587188612099642E-3</v>
      </c>
    </row>
    <row r="13" spans="1:31">
      <c r="A13" s="1"/>
      <c r="C13" t="s">
        <v>29</v>
      </c>
    </row>
    <row r="14" spans="1:31">
      <c r="B14" s="1" t="s">
        <v>164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31" ht="15" customHeight="1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172</v>
      </c>
      <c r="O15" s="1"/>
      <c r="P15" s="1" t="s">
        <v>24</v>
      </c>
      <c r="Q15" s="1" t="s">
        <v>14</v>
      </c>
      <c r="R15" s="1" t="s">
        <v>128</v>
      </c>
      <c r="W15" s="1" t="s">
        <v>173</v>
      </c>
      <c r="X15" s="1"/>
      <c r="Y15" s="1"/>
      <c r="Z15" s="1" t="s">
        <v>28</v>
      </c>
      <c r="AA15" s="1"/>
      <c r="AB15" s="1" t="s">
        <v>153</v>
      </c>
      <c r="AC15" s="1"/>
    </row>
    <row r="16" spans="1:31">
      <c r="A16" s="1"/>
      <c r="D16" t="s">
        <v>8</v>
      </c>
      <c r="E16" t="s">
        <v>20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t="s">
        <v>8</v>
      </c>
      <c r="O16" t="s">
        <v>10</v>
      </c>
      <c r="P16" s="1"/>
      <c r="Q16" s="1"/>
      <c r="R16" s="1"/>
      <c r="X16" t="s">
        <v>26</v>
      </c>
      <c r="Y16" t="s">
        <v>27</v>
      </c>
      <c r="Z16" t="s">
        <v>8</v>
      </c>
      <c r="AA16" t="s">
        <v>10</v>
      </c>
      <c r="AB16" t="s">
        <v>8</v>
      </c>
      <c r="AC16" t="s">
        <v>10</v>
      </c>
    </row>
    <row r="17" spans="1:29">
      <c r="A17" s="1"/>
      <c r="B17">
        <v>1</v>
      </c>
      <c r="C17" t="s">
        <v>0</v>
      </c>
      <c r="D17">
        <v>43</v>
      </c>
      <c r="E17">
        <f>D17/43</f>
        <v>1</v>
      </c>
      <c r="F17">
        <v>9</v>
      </c>
      <c r="G17">
        <f>F17/D17</f>
        <v>0.20930232558139536</v>
      </c>
      <c r="H17">
        <v>23</v>
      </c>
      <c r="I17">
        <f>H17/D17</f>
        <v>0.53488372093023251</v>
      </c>
      <c r="J17">
        <v>11</v>
      </c>
      <c r="K17">
        <f>J17/D17</f>
        <v>0.2558139534883721</v>
      </c>
      <c r="L17">
        <v>0</v>
      </c>
      <c r="M17">
        <f>L17/D17</f>
        <v>0</v>
      </c>
      <c r="O17">
        <f>N17/D17</f>
        <v>0</v>
      </c>
      <c r="P17">
        <f>(F17*5+H17*4+J17*3)/D17</f>
        <v>3.9534883720930232</v>
      </c>
      <c r="Q17">
        <f>754/D17</f>
        <v>17.534883720930232</v>
      </c>
      <c r="R17">
        <f>Q17/32</f>
        <v>0.54796511627906974</v>
      </c>
      <c r="X17">
        <f>542/D17</f>
        <v>12.604651162790697</v>
      </c>
      <c r="Y17">
        <f>212/D17</f>
        <v>4.9302325581395348</v>
      </c>
      <c r="Z17">
        <v>0</v>
      </c>
      <c r="AA17">
        <f>Z17/D17</f>
        <v>0</v>
      </c>
      <c r="AB17">
        <v>0</v>
      </c>
      <c r="AC17">
        <f>AB17/G17</f>
        <v>0</v>
      </c>
    </row>
    <row r="18" spans="1:29">
      <c r="A18" s="1"/>
      <c r="B18">
        <v>2</v>
      </c>
      <c r="C18" t="s">
        <v>1</v>
      </c>
      <c r="D18">
        <v>40</v>
      </c>
      <c r="E18">
        <f>D18/40</f>
        <v>1</v>
      </c>
      <c r="F18">
        <v>2</v>
      </c>
      <c r="G18">
        <f t="shared" ref="G18:G25" si="11">F18/D18</f>
        <v>0.05</v>
      </c>
      <c r="H18">
        <v>10</v>
      </c>
      <c r="I18">
        <f t="shared" ref="I18:I25" si="12">H18/D18</f>
        <v>0.25</v>
      </c>
      <c r="J18">
        <v>26</v>
      </c>
      <c r="K18">
        <f t="shared" ref="K18:K25" si="13">J18/D18</f>
        <v>0.65</v>
      </c>
      <c r="L18">
        <v>2</v>
      </c>
      <c r="M18">
        <f t="shared" ref="M18:M25" si="14">L18/D18</f>
        <v>0.05</v>
      </c>
      <c r="N18">
        <v>2</v>
      </c>
      <c r="O18">
        <f t="shared" ref="O18:O25" si="15">N18/D18</f>
        <v>0.05</v>
      </c>
      <c r="P18">
        <f>(F18*5+H18*4+J18*3+2*N18)/D18</f>
        <v>3.3</v>
      </c>
      <c r="Q18">
        <f>(522-7+4-7+6)/D18</f>
        <v>12.95</v>
      </c>
      <c r="R18">
        <f t="shared" ref="R18:R24" si="16">Q18/32</f>
        <v>0.40468749999999998</v>
      </c>
      <c r="X18">
        <f>362/D18</f>
        <v>9.0500000000000007</v>
      </c>
      <c r="Y18">
        <f>160/D18</f>
        <v>4</v>
      </c>
      <c r="Z18">
        <v>0</v>
      </c>
      <c r="AA18">
        <f t="shared" ref="AA18:AA25" si="17">Z18/D18</f>
        <v>0</v>
      </c>
      <c r="AB18">
        <v>0</v>
      </c>
      <c r="AC18">
        <f t="shared" ref="AC18:AC25" si="18">AB18/G18</f>
        <v>0</v>
      </c>
    </row>
    <row r="19" spans="1:29">
      <c r="A19" s="1"/>
      <c r="B19">
        <v>3</v>
      </c>
      <c r="C19" t="s">
        <v>2</v>
      </c>
      <c r="D19">
        <v>100</v>
      </c>
      <c r="E19">
        <f>D19/101</f>
        <v>0.99009900990099009</v>
      </c>
      <c r="F19">
        <v>11</v>
      </c>
      <c r="G19">
        <f t="shared" si="11"/>
        <v>0.11</v>
      </c>
      <c r="H19">
        <v>32</v>
      </c>
      <c r="I19">
        <f t="shared" si="12"/>
        <v>0.32</v>
      </c>
      <c r="J19">
        <v>57</v>
      </c>
      <c r="K19">
        <f t="shared" si="13"/>
        <v>0.56999999999999995</v>
      </c>
      <c r="L19">
        <v>0</v>
      </c>
      <c r="M19">
        <f t="shared" si="14"/>
        <v>0</v>
      </c>
      <c r="O19">
        <f t="shared" si="15"/>
        <v>0</v>
      </c>
      <c r="P19">
        <f t="shared" ref="P19:P24" si="19">(F19*5+H19*4+J19*3+2*N19)/D19</f>
        <v>3.54</v>
      </c>
      <c r="Q19">
        <f>(1454+20)/D19</f>
        <v>14.74</v>
      </c>
      <c r="R19">
        <f t="shared" si="16"/>
        <v>0.46062500000000001</v>
      </c>
      <c r="X19">
        <f>1047/D19</f>
        <v>10.47</v>
      </c>
      <c r="Y19">
        <f>407/D19</f>
        <v>4.07</v>
      </c>
      <c r="Z19">
        <v>0</v>
      </c>
      <c r="AA19">
        <f t="shared" si="17"/>
        <v>0</v>
      </c>
      <c r="AB19">
        <v>0</v>
      </c>
      <c r="AC19">
        <f t="shared" si="18"/>
        <v>0</v>
      </c>
    </row>
    <row r="20" spans="1:29">
      <c r="A20" s="1"/>
      <c r="B20">
        <v>4</v>
      </c>
      <c r="C20" t="s">
        <v>3</v>
      </c>
      <c r="D20">
        <v>45</v>
      </c>
      <c r="E20">
        <f>D20/46</f>
        <v>0.97826086956521741</v>
      </c>
      <c r="F20">
        <v>0</v>
      </c>
      <c r="G20">
        <f t="shared" si="11"/>
        <v>0</v>
      </c>
      <c r="H20">
        <v>19</v>
      </c>
      <c r="I20">
        <f t="shared" si="12"/>
        <v>0.42222222222222222</v>
      </c>
      <c r="J20">
        <v>24</v>
      </c>
      <c r="K20">
        <f t="shared" si="13"/>
        <v>0.53333333333333333</v>
      </c>
      <c r="L20">
        <v>5</v>
      </c>
      <c r="M20">
        <f t="shared" si="14"/>
        <v>0.1111111111111111</v>
      </c>
      <c r="N20">
        <v>2</v>
      </c>
      <c r="O20">
        <f t="shared" si="15"/>
        <v>4.4444444444444446E-2</v>
      </c>
      <c r="P20">
        <f t="shared" si="19"/>
        <v>3.3777777777777778</v>
      </c>
      <c r="Q20">
        <f>(602-5+6-3+7-6+9-6+9-8+12)/D20</f>
        <v>13.71111111111111</v>
      </c>
      <c r="R20">
        <f t="shared" si="16"/>
        <v>0.4284722222222222</v>
      </c>
      <c r="X20">
        <f>451/D20</f>
        <v>10.022222222222222</v>
      </c>
      <c r="Y20">
        <f>151/D20</f>
        <v>3.3555555555555556</v>
      </c>
      <c r="Z20">
        <v>0</v>
      </c>
      <c r="AA20">
        <f t="shared" si="17"/>
        <v>0</v>
      </c>
      <c r="AB20">
        <v>0</v>
      </c>
      <c r="AC20" t="e">
        <f t="shared" si="18"/>
        <v>#DIV/0!</v>
      </c>
    </row>
    <row r="21" spans="1:29">
      <c r="A21" s="1"/>
      <c r="B21">
        <v>5</v>
      </c>
      <c r="C21" t="s">
        <v>4</v>
      </c>
      <c r="D21">
        <v>6</v>
      </c>
      <c r="E21">
        <f>D21/6</f>
        <v>1</v>
      </c>
      <c r="F21">
        <v>0</v>
      </c>
      <c r="G21">
        <f t="shared" si="11"/>
        <v>0</v>
      </c>
      <c r="H21">
        <v>4</v>
      </c>
      <c r="I21">
        <f t="shared" si="12"/>
        <v>0.66666666666666663</v>
      </c>
      <c r="J21">
        <v>2</v>
      </c>
      <c r="K21">
        <f t="shared" si="13"/>
        <v>0.33333333333333331</v>
      </c>
      <c r="L21">
        <v>0</v>
      </c>
      <c r="M21">
        <f t="shared" si="14"/>
        <v>0</v>
      </c>
      <c r="O21">
        <f t="shared" si="15"/>
        <v>0</v>
      </c>
      <c r="P21">
        <f t="shared" si="19"/>
        <v>3.6666666666666665</v>
      </c>
      <c r="Q21">
        <f>92/D21</f>
        <v>15.333333333333334</v>
      </c>
      <c r="R21">
        <f t="shared" si="16"/>
        <v>0.47916666666666669</v>
      </c>
      <c r="X21">
        <f>67/D21</f>
        <v>11.166666666666666</v>
      </c>
      <c r="Y21">
        <f>25/D21</f>
        <v>4.166666666666667</v>
      </c>
      <c r="Z21">
        <v>0</v>
      </c>
      <c r="AA21">
        <f t="shared" si="17"/>
        <v>0</v>
      </c>
      <c r="AB21">
        <v>0</v>
      </c>
      <c r="AC21" t="e">
        <f t="shared" si="18"/>
        <v>#DIV/0!</v>
      </c>
    </row>
    <row r="22" spans="1:29">
      <c r="A22" s="1"/>
      <c r="B22">
        <v>6</v>
      </c>
      <c r="C22" t="s">
        <v>5</v>
      </c>
      <c r="D22">
        <v>12</v>
      </c>
      <c r="E22">
        <f>D22/12</f>
        <v>1</v>
      </c>
      <c r="F22">
        <v>0</v>
      </c>
      <c r="G22">
        <f t="shared" si="11"/>
        <v>0</v>
      </c>
      <c r="H22">
        <v>3</v>
      </c>
      <c r="I22">
        <f t="shared" si="12"/>
        <v>0.25</v>
      </c>
      <c r="J22">
        <v>7</v>
      </c>
      <c r="K22">
        <f t="shared" si="13"/>
        <v>0.58333333333333337</v>
      </c>
      <c r="L22">
        <v>3</v>
      </c>
      <c r="M22">
        <f t="shared" si="14"/>
        <v>0.25</v>
      </c>
      <c r="N22">
        <v>2</v>
      </c>
      <c r="O22">
        <f t="shared" si="15"/>
        <v>0.16666666666666666</v>
      </c>
      <c r="P22">
        <f>(F22*5+H22*4+J22*3+2*N22)/D22</f>
        <v>3.0833333333333335</v>
      </c>
      <c r="Q22">
        <f>(129-5-5+8+8)/D22</f>
        <v>11.25</v>
      </c>
      <c r="R22">
        <f t="shared" si="16"/>
        <v>0.3515625</v>
      </c>
      <c r="X22">
        <f>95/D22</f>
        <v>7.916666666666667</v>
      </c>
      <c r="Y22">
        <f>34/D22</f>
        <v>2.8333333333333335</v>
      </c>
      <c r="Z22">
        <v>0</v>
      </c>
      <c r="AA22">
        <f t="shared" si="17"/>
        <v>0</v>
      </c>
      <c r="AB22">
        <v>0</v>
      </c>
      <c r="AC22" t="e">
        <f t="shared" si="18"/>
        <v>#DIV/0!</v>
      </c>
    </row>
    <row r="23" spans="1:29">
      <c r="A23" s="1"/>
      <c r="B23">
        <v>7</v>
      </c>
      <c r="C23" t="s">
        <v>16</v>
      </c>
      <c r="D23">
        <v>6</v>
      </c>
      <c r="E23">
        <f>D23/6</f>
        <v>1</v>
      </c>
      <c r="F23">
        <v>0</v>
      </c>
      <c r="G23">
        <f t="shared" si="11"/>
        <v>0</v>
      </c>
      <c r="H23">
        <v>1</v>
      </c>
      <c r="I23">
        <f t="shared" si="12"/>
        <v>0.16666666666666666</v>
      </c>
      <c r="J23">
        <v>5</v>
      </c>
      <c r="K23">
        <f t="shared" si="13"/>
        <v>0.83333333333333337</v>
      </c>
      <c r="L23">
        <v>1</v>
      </c>
      <c r="M23">
        <f t="shared" si="14"/>
        <v>0.16666666666666666</v>
      </c>
      <c r="O23">
        <f t="shared" si="15"/>
        <v>0</v>
      </c>
      <c r="P23">
        <f>(F23*5+H23*4+J23*3+2*N23)/D23</f>
        <v>3.1666666666666665</v>
      </c>
      <c r="Q23">
        <f>(74-10+12)/D23</f>
        <v>12.666666666666666</v>
      </c>
      <c r="R23">
        <f t="shared" si="16"/>
        <v>0.39583333333333331</v>
      </c>
      <c r="X23">
        <f>57/D23</f>
        <v>9.5</v>
      </c>
      <c r="Y23">
        <f>17/D23</f>
        <v>2.8333333333333335</v>
      </c>
      <c r="Z23">
        <v>0</v>
      </c>
      <c r="AA23">
        <f t="shared" si="17"/>
        <v>0</v>
      </c>
      <c r="AB23">
        <v>0</v>
      </c>
      <c r="AC23" t="e">
        <f t="shared" si="18"/>
        <v>#DIV/0!</v>
      </c>
    </row>
    <row r="24" spans="1:29">
      <c r="A24" s="1"/>
      <c r="B24">
        <v>8</v>
      </c>
      <c r="C24" t="s">
        <v>17</v>
      </c>
      <c r="D24">
        <v>2</v>
      </c>
      <c r="E24">
        <f>D24/2</f>
        <v>1</v>
      </c>
      <c r="F24">
        <v>1</v>
      </c>
      <c r="G24">
        <f t="shared" si="11"/>
        <v>0.5</v>
      </c>
      <c r="H24">
        <v>0</v>
      </c>
      <c r="I24">
        <f t="shared" si="12"/>
        <v>0</v>
      </c>
      <c r="J24">
        <v>1</v>
      </c>
      <c r="K24">
        <f t="shared" si="13"/>
        <v>0.5</v>
      </c>
      <c r="L24">
        <v>0</v>
      </c>
      <c r="M24">
        <f t="shared" si="14"/>
        <v>0</v>
      </c>
      <c r="O24">
        <f t="shared" si="15"/>
        <v>0</v>
      </c>
      <c r="P24">
        <f t="shared" si="19"/>
        <v>4</v>
      </c>
      <c r="Q24">
        <f>38/D24</f>
        <v>19</v>
      </c>
      <c r="R24">
        <f t="shared" si="16"/>
        <v>0.59375</v>
      </c>
      <c r="X24">
        <f>25/D24</f>
        <v>12.5</v>
      </c>
      <c r="Y24">
        <f>13/D24</f>
        <v>6.5</v>
      </c>
      <c r="Z24">
        <v>0</v>
      </c>
      <c r="AA24">
        <f t="shared" si="17"/>
        <v>0</v>
      </c>
      <c r="AB24">
        <v>0</v>
      </c>
      <c r="AC24">
        <f t="shared" si="18"/>
        <v>0</v>
      </c>
    </row>
    <row r="25" spans="1:29">
      <c r="A25" s="1"/>
      <c r="C25" t="s">
        <v>6</v>
      </c>
      <c r="D25">
        <f>SUM(D17:D24)</f>
        <v>254</v>
      </c>
      <c r="E25">
        <f>D25/257</f>
        <v>0.98832684824902728</v>
      </c>
      <c r="F25">
        <f>SUM(F17:F24)</f>
        <v>23</v>
      </c>
      <c r="G25">
        <f t="shared" si="11"/>
        <v>9.055118110236221E-2</v>
      </c>
      <c r="H25">
        <f>SUM(H17:H24)</f>
        <v>92</v>
      </c>
      <c r="I25">
        <f t="shared" si="12"/>
        <v>0.36220472440944884</v>
      </c>
      <c r="J25">
        <f>SUM(J17:J24)</f>
        <v>133</v>
      </c>
      <c r="K25">
        <f t="shared" si="13"/>
        <v>0.52362204724409445</v>
      </c>
      <c r="L25">
        <f>SUM(L17:L24)</f>
        <v>11</v>
      </c>
      <c r="M25">
        <f t="shared" si="14"/>
        <v>4.3307086614173228E-2</v>
      </c>
      <c r="N25">
        <f>SUM(N17:N24)</f>
        <v>6</v>
      </c>
      <c r="O25">
        <f t="shared" si="15"/>
        <v>2.3622047244094488E-2</v>
      </c>
      <c r="P25">
        <f>(F25*5+H25*4+J25*3+2*N25)/D25</f>
        <v>3.5196850393700787</v>
      </c>
      <c r="Q25">
        <f>(3665-7-7+6+4-5+6-3+7-6+9-8+12-6+9-5-5+8+8-10+12+20)/D25</f>
        <v>14.582677165354331</v>
      </c>
      <c r="R25">
        <f>3665/(D25*32)</f>
        <v>0.45091043307086615</v>
      </c>
      <c r="X25">
        <f>2646/D25</f>
        <v>10.417322834645669</v>
      </c>
      <c r="Y25">
        <f>1019/D25</f>
        <v>4.0118110236220472</v>
      </c>
      <c r="Z25">
        <f>SUM(Z17:Z24)</f>
        <v>0</v>
      </c>
      <c r="AA25">
        <f t="shared" si="17"/>
        <v>0</v>
      </c>
      <c r="AB25">
        <f>SUM(AB17:AB24)</f>
        <v>0</v>
      </c>
      <c r="AC25">
        <f t="shared" si="18"/>
        <v>0</v>
      </c>
    </row>
    <row r="26" spans="1:29">
      <c r="A26" s="1"/>
      <c r="C26" t="s">
        <v>29</v>
      </c>
      <c r="O26">
        <v>8.1</v>
      </c>
      <c r="P26">
        <v>3.49</v>
      </c>
      <c r="Q26">
        <v>14.39</v>
      </c>
    </row>
    <row r="27" spans="1:29" ht="15" customHeight="1"/>
    <row r="28" spans="1:29">
      <c r="B28" s="1" t="s">
        <v>146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9" ht="55.5" customHeight="1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P29" s="1" t="s">
        <v>24</v>
      </c>
      <c r="Q29" s="1" t="s">
        <v>14</v>
      </c>
      <c r="R29" s="1" t="s">
        <v>128</v>
      </c>
      <c r="W29" s="1" t="s">
        <v>25</v>
      </c>
      <c r="X29" s="1"/>
      <c r="Y29" s="1"/>
      <c r="Z29" s="1" t="s">
        <v>28</v>
      </c>
      <c r="AA29" s="1"/>
      <c r="AB29" s="1" t="s">
        <v>153</v>
      </c>
      <c r="AC29" s="1"/>
    </row>
    <row r="30" spans="1:29">
      <c r="A30" s="1"/>
      <c r="D30" t="s">
        <v>8</v>
      </c>
      <c r="E30" t="s">
        <v>20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P30" s="1"/>
      <c r="Q30" s="1"/>
      <c r="R30" s="1"/>
      <c r="X30" t="s">
        <v>26</v>
      </c>
      <c r="Y30" t="s">
        <v>27</v>
      </c>
      <c r="Z30" t="s">
        <v>8</v>
      </c>
      <c r="AA30" t="s">
        <v>10</v>
      </c>
      <c r="AB30" t="s">
        <v>8</v>
      </c>
      <c r="AC30" t="s">
        <v>10</v>
      </c>
    </row>
    <row r="31" spans="1:29">
      <c r="A31" s="1"/>
      <c r="B31">
        <v>1</v>
      </c>
      <c r="C31" t="s">
        <v>0</v>
      </c>
      <c r="D31">
        <v>51</v>
      </c>
      <c r="E31">
        <f>D31/51</f>
        <v>1</v>
      </c>
      <c r="F31">
        <v>20</v>
      </c>
      <c r="G31">
        <f>F31/D31</f>
        <v>0.39215686274509803</v>
      </c>
      <c r="H31">
        <v>19</v>
      </c>
      <c r="I31">
        <f>H31/D31</f>
        <v>0.37254901960784315</v>
      </c>
      <c r="J31">
        <v>11</v>
      </c>
      <c r="K31">
        <f>J31/D31</f>
        <v>0.21568627450980393</v>
      </c>
      <c r="L31">
        <v>3</v>
      </c>
      <c r="M31">
        <f>L31/D31</f>
        <v>5.8823529411764705E-2</v>
      </c>
      <c r="P31">
        <f>((F31*5+H31*4+J31*3)+2)/D31</f>
        <v>4.1372549019607847</v>
      </c>
      <c r="Q31">
        <f>957/D31</f>
        <v>18.764705882352942</v>
      </c>
      <c r="R31">
        <f t="shared" ref="R31:R38" si="20">Q31/32</f>
        <v>0.58639705882352944</v>
      </c>
      <c r="X31">
        <f>667/D31</f>
        <v>13.078431372549019</v>
      </c>
      <c r="Y31">
        <f>290/D31</f>
        <v>5.6862745098039218</v>
      </c>
      <c r="Z31">
        <v>0</v>
      </c>
      <c r="AA31">
        <f>Z31/D31</f>
        <v>0</v>
      </c>
      <c r="AB31">
        <v>0</v>
      </c>
      <c r="AC31">
        <f>AB31/G31</f>
        <v>0</v>
      </c>
    </row>
    <row r="32" spans="1:29">
      <c r="A32" s="1"/>
      <c r="B32">
        <v>2</v>
      </c>
      <c r="C32" t="s">
        <v>1</v>
      </c>
      <c r="D32">
        <v>35</v>
      </c>
      <c r="E32">
        <f>D32/35</f>
        <v>1</v>
      </c>
      <c r="F32">
        <v>2</v>
      </c>
      <c r="G32">
        <f t="shared" ref="G32:G39" si="21">F32/D32</f>
        <v>5.7142857142857141E-2</v>
      </c>
      <c r="H32">
        <v>15</v>
      </c>
      <c r="I32">
        <f t="shared" ref="I32:I39" si="22">H32/D32</f>
        <v>0.42857142857142855</v>
      </c>
      <c r="J32">
        <v>18</v>
      </c>
      <c r="K32">
        <f t="shared" ref="K32:K39" si="23">J32/D32</f>
        <v>0.51428571428571423</v>
      </c>
      <c r="L32">
        <v>1</v>
      </c>
      <c r="M32">
        <f t="shared" ref="M32:M39" si="24">L32/D32</f>
        <v>2.8571428571428571E-2</v>
      </c>
      <c r="P32">
        <f t="shared" ref="P32:P37" si="25">(F32*5+H32*4+J32*3)/D32</f>
        <v>3.5428571428571427</v>
      </c>
      <c r="Q32">
        <f>505/D32</f>
        <v>14.428571428571429</v>
      </c>
      <c r="R32">
        <f t="shared" si="20"/>
        <v>0.45089285714285715</v>
      </c>
      <c r="X32">
        <f>362/D32</f>
        <v>10.342857142857143</v>
      </c>
      <c r="Y32">
        <f>142/D32</f>
        <v>4.0571428571428569</v>
      </c>
      <c r="Z32">
        <v>0</v>
      </c>
      <c r="AA32">
        <f t="shared" ref="AA32:AA39" si="26">Z32/D32</f>
        <v>0</v>
      </c>
      <c r="AB32">
        <v>0</v>
      </c>
      <c r="AC32">
        <f t="shared" ref="AC32:AC39" si="27">AB32/G32</f>
        <v>0</v>
      </c>
    </row>
    <row r="33" spans="1:29">
      <c r="A33" s="1"/>
      <c r="B33">
        <v>3</v>
      </c>
      <c r="C33" t="s">
        <v>2</v>
      </c>
      <c r="D33">
        <v>97</v>
      </c>
      <c r="E33">
        <f>D33/97</f>
        <v>1</v>
      </c>
      <c r="F33">
        <v>18</v>
      </c>
      <c r="G33">
        <f t="shared" si="21"/>
        <v>0.18556701030927836</v>
      </c>
      <c r="H33">
        <v>37</v>
      </c>
      <c r="I33">
        <f t="shared" si="22"/>
        <v>0.38144329896907214</v>
      </c>
      <c r="J33">
        <v>42</v>
      </c>
      <c r="K33">
        <f t="shared" si="23"/>
        <v>0.4329896907216495</v>
      </c>
      <c r="L33">
        <v>1</v>
      </c>
      <c r="M33">
        <f t="shared" si="24"/>
        <v>1.0309278350515464E-2</v>
      </c>
      <c r="P33">
        <f t="shared" si="25"/>
        <v>3.7525773195876289</v>
      </c>
      <c r="Q33">
        <f>1533/D33</f>
        <v>15.804123711340207</v>
      </c>
      <c r="R33">
        <f t="shared" si="20"/>
        <v>0.49387886597938147</v>
      </c>
      <c r="X33">
        <f>1135/D33</f>
        <v>11.701030927835051</v>
      </c>
      <c r="Y33">
        <f>398/D33</f>
        <v>4.1030927835051543</v>
      </c>
      <c r="Z33">
        <v>0</v>
      </c>
      <c r="AA33">
        <f t="shared" si="26"/>
        <v>0</v>
      </c>
      <c r="AB33">
        <v>0</v>
      </c>
      <c r="AC33">
        <f t="shared" si="27"/>
        <v>0</v>
      </c>
    </row>
    <row r="34" spans="1:29">
      <c r="A34" s="1"/>
      <c r="B34">
        <v>4</v>
      </c>
      <c r="C34" t="s">
        <v>3</v>
      </c>
      <c r="D34">
        <v>52</v>
      </c>
      <c r="E34">
        <f>D34/52</f>
        <v>1</v>
      </c>
      <c r="F34">
        <v>12</v>
      </c>
      <c r="G34">
        <f t="shared" si="21"/>
        <v>0.23076923076923078</v>
      </c>
      <c r="H34">
        <v>18</v>
      </c>
      <c r="I34">
        <f t="shared" si="22"/>
        <v>0.34615384615384615</v>
      </c>
      <c r="J34">
        <v>22</v>
      </c>
      <c r="K34">
        <f t="shared" si="23"/>
        <v>0.42307692307692307</v>
      </c>
      <c r="L34">
        <v>3</v>
      </c>
      <c r="M34">
        <f t="shared" si="24"/>
        <v>5.7692307692307696E-2</v>
      </c>
      <c r="P34">
        <f t="shared" si="25"/>
        <v>3.8076923076923075</v>
      </c>
      <c r="Q34">
        <f>852/D34</f>
        <v>16.384615384615383</v>
      </c>
      <c r="R34">
        <f t="shared" si="20"/>
        <v>0.51201923076923073</v>
      </c>
      <c r="X34">
        <f>609/D34</f>
        <v>11.711538461538462</v>
      </c>
      <c r="Y34">
        <f>243/D34</f>
        <v>4.6730769230769234</v>
      </c>
      <c r="Z34">
        <v>1</v>
      </c>
      <c r="AA34">
        <f t="shared" si="26"/>
        <v>1.9230769230769232E-2</v>
      </c>
      <c r="AB34">
        <v>0</v>
      </c>
      <c r="AC34">
        <f t="shared" si="27"/>
        <v>0</v>
      </c>
    </row>
    <row r="35" spans="1:29">
      <c r="A35" s="1"/>
      <c r="B35">
        <v>5</v>
      </c>
      <c r="C35" t="s">
        <v>4</v>
      </c>
      <c r="D35">
        <v>2</v>
      </c>
      <c r="E35">
        <f>D35/2</f>
        <v>1</v>
      </c>
      <c r="F35">
        <v>0</v>
      </c>
      <c r="G35">
        <f t="shared" si="21"/>
        <v>0</v>
      </c>
      <c r="H35">
        <v>0</v>
      </c>
      <c r="I35">
        <f t="shared" si="22"/>
        <v>0</v>
      </c>
      <c r="J35">
        <v>2</v>
      </c>
      <c r="K35">
        <f t="shared" si="23"/>
        <v>1</v>
      </c>
      <c r="L35">
        <v>1</v>
      </c>
      <c r="M35">
        <f t="shared" si="24"/>
        <v>0.5</v>
      </c>
      <c r="P35">
        <f t="shared" si="25"/>
        <v>3</v>
      </c>
      <c r="Q35">
        <f>16/D35</f>
        <v>8</v>
      </c>
      <c r="R35">
        <f t="shared" si="20"/>
        <v>0.25</v>
      </c>
      <c r="X35">
        <f>12/D35</f>
        <v>6</v>
      </c>
      <c r="Y35">
        <f>4/D35</f>
        <v>2</v>
      </c>
      <c r="Z35">
        <v>0</v>
      </c>
      <c r="AA35">
        <f t="shared" si="26"/>
        <v>0</v>
      </c>
      <c r="AC35" t="e">
        <f t="shared" si="27"/>
        <v>#DIV/0!</v>
      </c>
    </row>
    <row r="36" spans="1:29">
      <c r="A36" s="1"/>
      <c r="B36">
        <v>6</v>
      </c>
      <c r="C36" t="s">
        <v>5</v>
      </c>
      <c r="D36">
        <v>11</v>
      </c>
      <c r="E36">
        <f>D36/11</f>
        <v>1</v>
      </c>
      <c r="F36">
        <v>1</v>
      </c>
      <c r="G36">
        <f t="shared" si="21"/>
        <v>9.0909090909090912E-2</v>
      </c>
      <c r="H36">
        <v>3</v>
      </c>
      <c r="I36">
        <f t="shared" si="22"/>
        <v>0.27272727272727271</v>
      </c>
      <c r="J36">
        <v>7</v>
      </c>
      <c r="K36">
        <f t="shared" si="23"/>
        <v>0.63636363636363635</v>
      </c>
      <c r="L36">
        <v>1</v>
      </c>
      <c r="M36">
        <f t="shared" si="24"/>
        <v>9.0909090909090912E-2</v>
      </c>
      <c r="P36">
        <f t="shared" si="25"/>
        <v>3.4545454545454546</v>
      </c>
      <c r="Q36">
        <f>144/D36</f>
        <v>13.090909090909092</v>
      </c>
      <c r="R36">
        <f t="shared" si="20"/>
        <v>0.40909090909090912</v>
      </c>
      <c r="X36">
        <f>100/D36</f>
        <v>9.0909090909090917</v>
      </c>
      <c r="Y36">
        <f>44/D36</f>
        <v>4</v>
      </c>
      <c r="Z36">
        <v>0</v>
      </c>
      <c r="AA36">
        <f t="shared" si="26"/>
        <v>0</v>
      </c>
      <c r="AB36">
        <v>0</v>
      </c>
      <c r="AC36">
        <f t="shared" si="27"/>
        <v>0</v>
      </c>
    </row>
    <row r="37" spans="1:29">
      <c r="A37" s="1"/>
      <c r="B37">
        <v>7</v>
      </c>
      <c r="C37" t="s">
        <v>16</v>
      </c>
      <c r="D37">
        <v>7</v>
      </c>
      <c r="E37">
        <f>D37/7</f>
        <v>1</v>
      </c>
      <c r="F37">
        <v>0</v>
      </c>
      <c r="G37">
        <f t="shared" si="21"/>
        <v>0</v>
      </c>
      <c r="H37">
        <v>4</v>
      </c>
      <c r="I37">
        <f t="shared" si="22"/>
        <v>0.5714285714285714</v>
      </c>
      <c r="J37">
        <v>3</v>
      </c>
      <c r="K37">
        <f t="shared" si="23"/>
        <v>0.42857142857142855</v>
      </c>
      <c r="L37">
        <v>1</v>
      </c>
      <c r="M37">
        <f t="shared" si="24"/>
        <v>0.14285714285714285</v>
      </c>
      <c r="P37">
        <f t="shared" si="25"/>
        <v>3.5714285714285716</v>
      </c>
      <c r="Q37">
        <f>101/D37</f>
        <v>14.428571428571429</v>
      </c>
      <c r="R37">
        <f t="shared" si="20"/>
        <v>0.45089285714285715</v>
      </c>
      <c r="X37">
        <f>77/D37</f>
        <v>11</v>
      </c>
      <c r="Y37">
        <f>24/D37</f>
        <v>3.4285714285714284</v>
      </c>
      <c r="Z37">
        <v>0</v>
      </c>
      <c r="AA37">
        <f t="shared" si="26"/>
        <v>0</v>
      </c>
      <c r="AC37" t="e">
        <f t="shared" si="27"/>
        <v>#DIV/0!</v>
      </c>
    </row>
    <row r="38" spans="1:29">
      <c r="A38" s="1"/>
      <c r="B38">
        <v>8</v>
      </c>
      <c r="C38" t="s">
        <v>17</v>
      </c>
      <c r="D38">
        <v>3</v>
      </c>
      <c r="E38">
        <f>D38/3</f>
        <v>1</v>
      </c>
      <c r="F38">
        <v>0</v>
      </c>
      <c r="G38">
        <f t="shared" si="21"/>
        <v>0</v>
      </c>
      <c r="H38">
        <v>1</v>
      </c>
      <c r="I38">
        <f t="shared" si="22"/>
        <v>0.33333333333333331</v>
      </c>
      <c r="J38">
        <v>2</v>
      </c>
      <c r="K38">
        <f t="shared" si="23"/>
        <v>0.66666666666666663</v>
      </c>
      <c r="L38">
        <v>0</v>
      </c>
      <c r="M38">
        <f t="shared" si="24"/>
        <v>0</v>
      </c>
      <c r="P38">
        <f>(F38*5+H38*4+J38*3+L38*2)/D38</f>
        <v>3.3333333333333335</v>
      </c>
      <c r="Q38">
        <f>43/D38</f>
        <v>14.333333333333334</v>
      </c>
      <c r="R38">
        <f t="shared" si="20"/>
        <v>0.44791666666666669</v>
      </c>
      <c r="X38">
        <f>29/D38</f>
        <v>9.6666666666666661</v>
      </c>
      <c r="Y38">
        <f>14/D38</f>
        <v>4.666666666666667</v>
      </c>
      <c r="Z38">
        <v>0</v>
      </c>
      <c r="AA38">
        <f t="shared" si="26"/>
        <v>0</v>
      </c>
      <c r="AC38" t="e">
        <f t="shared" si="27"/>
        <v>#DIV/0!</v>
      </c>
    </row>
    <row r="39" spans="1:29">
      <c r="A39" s="1"/>
      <c r="C39" t="s">
        <v>6</v>
      </c>
      <c r="D39">
        <f>SUM(D31:D38)</f>
        <v>258</v>
      </c>
      <c r="E39">
        <f>D39/258</f>
        <v>1</v>
      </c>
      <c r="F39">
        <f>SUM(F31:F38)</f>
        <v>53</v>
      </c>
      <c r="G39">
        <f t="shared" si="21"/>
        <v>0.20542635658914729</v>
      </c>
      <c r="H39">
        <f>SUM(H31:H38)</f>
        <v>97</v>
      </c>
      <c r="I39">
        <f t="shared" si="22"/>
        <v>0.37596899224806202</v>
      </c>
      <c r="J39">
        <f>SUM(J31:J38)</f>
        <v>107</v>
      </c>
      <c r="K39">
        <f t="shared" si="23"/>
        <v>0.41472868217054265</v>
      </c>
      <c r="L39">
        <f>SUM(L31:L38)</f>
        <v>11</v>
      </c>
      <c r="M39">
        <f t="shared" si="24"/>
        <v>4.2635658914728682E-2</v>
      </c>
      <c r="P39">
        <f>(F39*5+H39*4+J39*3+2*1)/D39</f>
        <v>3.7829457364341086</v>
      </c>
      <c r="Q39">
        <f>4151/D39</f>
        <v>16.089147286821706</v>
      </c>
      <c r="R39">
        <f>4151/(D39*32)</f>
        <v>0.50278585271317833</v>
      </c>
      <c r="X39">
        <f>2992/D39</f>
        <v>11.596899224806201</v>
      </c>
      <c r="Y39">
        <f>1159/D39</f>
        <v>4.4922480620155039</v>
      </c>
      <c r="Z39">
        <f>SUM(Z31:Z38)</f>
        <v>1</v>
      </c>
      <c r="AA39">
        <f t="shared" si="26"/>
        <v>3.875968992248062E-3</v>
      </c>
      <c r="AB39">
        <f>SUM(AB31:AB38)</f>
        <v>0</v>
      </c>
      <c r="AC39">
        <f t="shared" si="27"/>
        <v>0</v>
      </c>
    </row>
    <row r="40" spans="1:29">
      <c r="A40" s="1"/>
      <c r="C40" t="s">
        <v>29</v>
      </c>
    </row>
    <row r="41" spans="1:29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P41" s="1" t="s">
        <v>24</v>
      </c>
      <c r="Q41" s="1" t="s">
        <v>14</v>
      </c>
      <c r="R41" s="1" t="s">
        <v>128</v>
      </c>
      <c r="W41" s="1" t="s">
        <v>25</v>
      </c>
      <c r="X41" s="1"/>
      <c r="Y41" s="1"/>
      <c r="Z41" s="1" t="s">
        <v>28</v>
      </c>
      <c r="AA41" s="1"/>
      <c r="AB41" s="1" t="s">
        <v>42</v>
      </c>
      <c r="AC41" s="1"/>
    </row>
    <row r="42" spans="1:29">
      <c r="A42" s="1"/>
      <c r="D42" t="s">
        <v>8</v>
      </c>
      <c r="E42" t="s">
        <v>20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P42" s="1"/>
      <c r="Q42" s="1"/>
      <c r="R42" s="1"/>
      <c r="X42" t="s">
        <v>26</v>
      </c>
      <c r="Y42" t="s">
        <v>27</v>
      </c>
      <c r="Z42" t="s">
        <v>8</v>
      </c>
      <c r="AA42" t="s">
        <v>10</v>
      </c>
      <c r="AB42" t="s">
        <v>8</v>
      </c>
      <c r="AC42" t="s">
        <v>10</v>
      </c>
    </row>
    <row r="43" spans="1:29">
      <c r="A43" s="1"/>
      <c r="B43">
        <v>1</v>
      </c>
      <c r="C43" t="s">
        <v>0</v>
      </c>
      <c r="D43">
        <v>53</v>
      </c>
      <c r="E43">
        <f>D43/53</f>
        <v>1</v>
      </c>
      <c r="F43">
        <v>18</v>
      </c>
      <c r="G43">
        <f>F43/D43</f>
        <v>0.33962264150943394</v>
      </c>
      <c r="H43">
        <v>22</v>
      </c>
      <c r="I43">
        <f>H43/D43</f>
        <v>0.41509433962264153</v>
      </c>
      <c r="J43">
        <v>13</v>
      </c>
      <c r="K43">
        <f>J43/D43</f>
        <v>0.24528301886792453</v>
      </c>
      <c r="L43">
        <v>3</v>
      </c>
      <c r="M43">
        <f>L43/D43</f>
        <v>5.6603773584905662E-2</v>
      </c>
      <c r="P43">
        <f>(F43*5+H43*4+J43*3)/D43</f>
        <v>4.0943396226415096</v>
      </c>
      <c r="Q43">
        <f>1021/D43</f>
        <v>19.264150943396228</v>
      </c>
      <c r="R43">
        <f t="shared" ref="R43:R50" si="28">Q43/32</f>
        <v>0.60200471698113212</v>
      </c>
      <c r="X43">
        <f>440/D43</f>
        <v>8.3018867924528301</v>
      </c>
      <c r="Y43">
        <f>250/D43</f>
        <v>4.716981132075472</v>
      </c>
      <c r="Z43">
        <v>1</v>
      </c>
      <c r="AA43">
        <f t="shared" ref="AA43:AA51" si="29">Z43/D43</f>
        <v>1.8867924528301886E-2</v>
      </c>
      <c r="AB43">
        <v>0</v>
      </c>
      <c r="AC43">
        <f>AB43/G43</f>
        <v>0</v>
      </c>
    </row>
    <row r="44" spans="1:29">
      <c r="A44" s="1"/>
      <c r="B44">
        <v>2</v>
      </c>
      <c r="C44" t="s">
        <v>1</v>
      </c>
      <c r="D44">
        <v>45</v>
      </c>
      <c r="E44">
        <f>D44/45</f>
        <v>1</v>
      </c>
      <c r="F44">
        <v>3</v>
      </c>
      <c r="G44">
        <f t="shared" ref="G44:G51" si="30">F44/D44</f>
        <v>6.6666666666666666E-2</v>
      </c>
      <c r="H44">
        <v>17</v>
      </c>
      <c r="I44">
        <f t="shared" ref="I44:I51" si="31">H44/D44</f>
        <v>0.37777777777777777</v>
      </c>
      <c r="J44">
        <v>25</v>
      </c>
      <c r="K44">
        <f t="shared" ref="K44:K51" si="32">J44/D44</f>
        <v>0.55555555555555558</v>
      </c>
      <c r="L44">
        <v>3</v>
      </c>
      <c r="M44">
        <f t="shared" ref="M44:M51" si="33">L44/D44</f>
        <v>6.6666666666666666E-2</v>
      </c>
      <c r="P44">
        <f>(F44*5+H44*4+J44*3)/D44</f>
        <v>3.5111111111111111</v>
      </c>
      <c r="Q44">
        <f>652/D44</f>
        <v>14.488888888888889</v>
      </c>
      <c r="R44">
        <f t="shared" si="28"/>
        <v>0.45277777777777778</v>
      </c>
      <c r="X44">
        <f>255/D44</f>
        <v>5.666666666666667</v>
      </c>
      <c r="Y44">
        <f>163/D44</f>
        <v>3.6222222222222222</v>
      </c>
      <c r="Z44">
        <v>0</v>
      </c>
      <c r="AA44">
        <f t="shared" si="29"/>
        <v>0</v>
      </c>
      <c r="AB44">
        <v>0</v>
      </c>
      <c r="AC44">
        <f t="shared" ref="AC44:AC51" si="34">AB44/G44</f>
        <v>0</v>
      </c>
    </row>
    <row r="45" spans="1:29">
      <c r="A45" s="1"/>
      <c r="B45">
        <v>3</v>
      </c>
      <c r="C45" t="s">
        <v>2</v>
      </c>
      <c r="D45">
        <v>103</v>
      </c>
      <c r="E45">
        <f>D45/103</f>
        <v>1</v>
      </c>
      <c r="F45">
        <v>9</v>
      </c>
      <c r="G45">
        <f t="shared" si="30"/>
        <v>8.7378640776699032E-2</v>
      </c>
      <c r="H45">
        <v>57</v>
      </c>
      <c r="I45">
        <f t="shared" si="31"/>
        <v>0.55339805825242716</v>
      </c>
      <c r="J45">
        <v>37</v>
      </c>
      <c r="K45">
        <f t="shared" si="32"/>
        <v>0.35922330097087379</v>
      </c>
      <c r="L45">
        <v>0</v>
      </c>
      <c r="M45">
        <f t="shared" si="33"/>
        <v>0</v>
      </c>
      <c r="P45">
        <f>(F45*5+H45*4+J45*3+L45*2)/D45</f>
        <v>3.7281553398058254</v>
      </c>
      <c r="Q45">
        <f>1677/D45</f>
        <v>16.281553398058254</v>
      </c>
      <c r="R45">
        <f t="shared" si="28"/>
        <v>0.50879854368932043</v>
      </c>
      <c r="X45">
        <f>695/D45</f>
        <v>6.7475728155339807</v>
      </c>
      <c r="Y45">
        <f>393/D45</f>
        <v>3.8155339805825244</v>
      </c>
      <c r="Z45">
        <v>1</v>
      </c>
      <c r="AA45">
        <f t="shared" si="29"/>
        <v>9.7087378640776691E-3</v>
      </c>
      <c r="AB45">
        <v>0</v>
      </c>
      <c r="AC45">
        <f t="shared" si="34"/>
        <v>0</v>
      </c>
    </row>
    <row r="46" spans="1:29">
      <c r="A46" s="1"/>
      <c r="B46">
        <v>4</v>
      </c>
      <c r="C46" t="s">
        <v>3</v>
      </c>
      <c r="D46">
        <v>42</v>
      </c>
      <c r="E46">
        <f>D46/42</f>
        <v>1</v>
      </c>
      <c r="F46">
        <v>5</v>
      </c>
      <c r="G46">
        <f t="shared" si="30"/>
        <v>0.11904761904761904</v>
      </c>
      <c r="H46">
        <v>18</v>
      </c>
      <c r="I46">
        <f t="shared" si="31"/>
        <v>0.42857142857142855</v>
      </c>
      <c r="J46">
        <v>18</v>
      </c>
      <c r="K46">
        <f t="shared" si="32"/>
        <v>0.42857142857142855</v>
      </c>
      <c r="L46">
        <v>3</v>
      </c>
      <c r="M46">
        <f t="shared" si="33"/>
        <v>7.1428571428571425E-2</v>
      </c>
      <c r="P46">
        <f>(F46*5+H46*4+J46*3+2+2)/D46</f>
        <v>3.6904761904761907</v>
      </c>
      <c r="Q46">
        <f>636/D46</f>
        <v>15.142857142857142</v>
      </c>
      <c r="R46">
        <f t="shared" si="28"/>
        <v>0.4732142857142857</v>
      </c>
      <c r="X46">
        <f>269/D46</f>
        <v>6.4047619047619051</v>
      </c>
      <c r="Y46">
        <f>142/D46</f>
        <v>3.3809523809523809</v>
      </c>
      <c r="Z46">
        <v>0</v>
      </c>
      <c r="AA46">
        <f t="shared" si="29"/>
        <v>0</v>
      </c>
      <c r="AB46">
        <v>0</v>
      </c>
      <c r="AC46">
        <f t="shared" si="34"/>
        <v>0</v>
      </c>
    </row>
    <row r="47" spans="1:29">
      <c r="A47" s="1"/>
      <c r="B47">
        <v>5</v>
      </c>
      <c r="C47" t="s">
        <v>4</v>
      </c>
      <c r="D47">
        <v>5</v>
      </c>
      <c r="E47">
        <f>D47/5</f>
        <v>1</v>
      </c>
      <c r="F47">
        <v>0</v>
      </c>
      <c r="G47">
        <f t="shared" si="30"/>
        <v>0</v>
      </c>
      <c r="H47">
        <v>3</v>
      </c>
      <c r="I47">
        <f t="shared" si="31"/>
        <v>0.6</v>
      </c>
      <c r="J47">
        <v>2</v>
      </c>
      <c r="K47">
        <f t="shared" si="32"/>
        <v>0.4</v>
      </c>
      <c r="L47">
        <v>0</v>
      </c>
      <c r="M47">
        <f t="shared" si="33"/>
        <v>0</v>
      </c>
      <c r="P47">
        <f>(F47*5+H47*4+J47*3+L47*2)/D47</f>
        <v>3.6</v>
      </c>
      <c r="Q47">
        <f>81/D47</f>
        <v>16.2</v>
      </c>
      <c r="R47">
        <f t="shared" si="28"/>
        <v>0.50624999999999998</v>
      </c>
      <c r="X47">
        <f>34/D47</f>
        <v>6.8</v>
      </c>
      <c r="Y47">
        <f>14/D47</f>
        <v>2.8</v>
      </c>
      <c r="Z47">
        <v>0</v>
      </c>
      <c r="AA47">
        <f t="shared" si="29"/>
        <v>0</v>
      </c>
      <c r="AC47" t="e">
        <f t="shared" si="34"/>
        <v>#DIV/0!</v>
      </c>
    </row>
    <row r="48" spans="1:29">
      <c r="A48" s="1"/>
      <c r="B48">
        <v>6</v>
      </c>
      <c r="C48" t="s">
        <v>5</v>
      </c>
      <c r="D48">
        <v>8</v>
      </c>
      <c r="E48">
        <f>D48/8</f>
        <v>1</v>
      </c>
      <c r="F48">
        <v>0</v>
      </c>
      <c r="G48">
        <f t="shared" si="30"/>
        <v>0</v>
      </c>
      <c r="H48">
        <v>1</v>
      </c>
      <c r="I48">
        <f t="shared" si="31"/>
        <v>0.125</v>
      </c>
      <c r="J48">
        <v>7</v>
      </c>
      <c r="K48">
        <f t="shared" si="32"/>
        <v>0.875</v>
      </c>
      <c r="L48">
        <v>1</v>
      </c>
      <c r="M48">
        <f t="shared" si="33"/>
        <v>0.125</v>
      </c>
      <c r="P48">
        <f>(F48*5+H48*4+J48*3)/D48</f>
        <v>3.125</v>
      </c>
      <c r="Q48">
        <f>99/D48</f>
        <v>12.375</v>
      </c>
      <c r="R48">
        <f t="shared" si="28"/>
        <v>0.38671875</v>
      </c>
      <c r="X48">
        <f>43/D48</f>
        <v>5.375</v>
      </c>
      <c r="Y48">
        <f>26/D48</f>
        <v>3.25</v>
      </c>
      <c r="Z48">
        <v>0</v>
      </c>
      <c r="AA48">
        <f t="shared" si="29"/>
        <v>0</v>
      </c>
      <c r="AC48" t="e">
        <f t="shared" si="34"/>
        <v>#DIV/0!</v>
      </c>
    </row>
    <row r="49" spans="1:29">
      <c r="A49" s="1"/>
      <c r="B49">
        <v>7</v>
      </c>
      <c r="C49" t="s">
        <v>16</v>
      </c>
      <c r="D49">
        <v>2</v>
      </c>
      <c r="E49">
        <f>D49/2</f>
        <v>1</v>
      </c>
      <c r="F49">
        <v>1</v>
      </c>
      <c r="G49">
        <f t="shared" si="30"/>
        <v>0.5</v>
      </c>
      <c r="H49">
        <v>1</v>
      </c>
      <c r="I49">
        <f t="shared" si="31"/>
        <v>0.5</v>
      </c>
      <c r="J49">
        <v>0</v>
      </c>
      <c r="K49">
        <f t="shared" si="32"/>
        <v>0</v>
      </c>
      <c r="L49">
        <v>0</v>
      </c>
      <c r="M49">
        <f t="shared" si="33"/>
        <v>0</v>
      </c>
      <c r="P49">
        <f>(F49*5+H49*4+J49*3+L49)/D49</f>
        <v>4.5</v>
      </c>
      <c r="Q49">
        <f>39/D49</f>
        <v>19.5</v>
      </c>
      <c r="R49">
        <f t="shared" si="28"/>
        <v>0.609375</v>
      </c>
      <c r="X49">
        <f>16/D49</f>
        <v>8</v>
      </c>
      <c r="Y49">
        <f>9/D49</f>
        <v>4.5</v>
      </c>
      <c r="Z49">
        <v>0</v>
      </c>
      <c r="AA49">
        <f t="shared" si="29"/>
        <v>0</v>
      </c>
      <c r="AC49">
        <f t="shared" si="34"/>
        <v>0</v>
      </c>
    </row>
    <row r="50" spans="1:29">
      <c r="A50" s="1"/>
      <c r="B50">
        <v>8</v>
      </c>
      <c r="C50" t="s">
        <v>17</v>
      </c>
      <c r="D50">
        <v>4</v>
      </c>
      <c r="E50">
        <f>D50/4</f>
        <v>1</v>
      </c>
      <c r="F50">
        <v>0</v>
      </c>
      <c r="G50">
        <f t="shared" si="30"/>
        <v>0</v>
      </c>
      <c r="H50">
        <v>2</v>
      </c>
      <c r="I50">
        <f t="shared" si="31"/>
        <v>0.5</v>
      </c>
      <c r="J50">
        <v>2</v>
      </c>
      <c r="K50">
        <f t="shared" si="32"/>
        <v>0.5</v>
      </c>
      <c r="L50">
        <v>0</v>
      </c>
      <c r="M50">
        <f t="shared" si="33"/>
        <v>0</v>
      </c>
      <c r="P50">
        <f>(F50*5+H50*4+J50*3+L50*2)/D50</f>
        <v>3.5</v>
      </c>
      <c r="Q50">
        <f>55/D50</f>
        <v>13.75</v>
      </c>
      <c r="R50">
        <f t="shared" si="28"/>
        <v>0.4296875</v>
      </c>
      <c r="X50">
        <f>23/D50</f>
        <v>5.75</v>
      </c>
      <c r="Y50">
        <f>11/D50</f>
        <v>2.75</v>
      </c>
      <c r="Z50">
        <v>0</v>
      </c>
      <c r="AA50">
        <f t="shared" si="29"/>
        <v>0</v>
      </c>
      <c r="AC50" t="e">
        <f t="shared" si="34"/>
        <v>#DIV/0!</v>
      </c>
    </row>
    <row r="51" spans="1:29">
      <c r="A51" s="1"/>
      <c r="C51" t="s">
        <v>6</v>
      </c>
      <c r="D51">
        <f>SUM(D43:D50)</f>
        <v>262</v>
      </c>
      <c r="E51">
        <f>D51/262</f>
        <v>1</v>
      </c>
      <c r="F51">
        <f>SUM(F43:F50)</f>
        <v>36</v>
      </c>
      <c r="G51">
        <f t="shared" si="30"/>
        <v>0.13740458015267176</v>
      </c>
      <c r="H51">
        <f>SUM(H43:H50)</f>
        <v>121</v>
      </c>
      <c r="I51">
        <f t="shared" si="31"/>
        <v>0.46183206106870228</v>
      </c>
      <c r="J51">
        <f>SUM(J43:J50)</f>
        <v>104</v>
      </c>
      <c r="K51">
        <f t="shared" si="32"/>
        <v>0.39694656488549618</v>
      </c>
      <c r="L51">
        <f>SUM(L43:L50)</f>
        <v>10</v>
      </c>
      <c r="M51">
        <f t="shared" si="33"/>
        <v>3.8167938931297711E-2</v>
      </c>
      <c r="P51">
        <f>(F51*5+H51*4+J51*3+L51*2)/D51</f>
        <v>3.8015267175572518</v>
      </c>
      <c r="Q51">
        <f>4260/D51</f>
        <v>16.259541984732824</v>
      </c>
      <c r="R51">
        <f>4260/(D51*32)</f>
        <v>0.50811068702290074</v>
      </c>
      <c r="X51">
        <f>1787/D51</f>
        <v>6.8206106870229011</v>
      </c>
      <c r="Y51">
        <f>1008/D51</f>
        <v>3.8473282442748094</v>
      </c>
      <c r="Z51">
        <f>SUM(Z43:Z50)</f>
        <v>2</v>
      </c>
      <c r="AA51">
        <f t="shared" si="29"/>
        <v>7.6335877862595417E-3</v>
      </c>
      <c r="AB51">
        <f>SUM(AB43:AB50)</f>
        <v>0</v>
      </c>
      <c r="AC51">
        <f t="shared" si="34"/>
        <v>0</v>
      </c>
    </row>
    <row r="52" spans="1:29">
      <c r="A52" s="1"/>
      <c r="C52" t="s">
        <v>29</v>
      </c>
    </row>
    <row r="55" spans="1:29">
      <c r="A55" s="1" t="s">
        <v>158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29">
      <c r="A56" t="s">
        <v>49</v>
      </c>
      <c r="B56" t="s">
        <v>120</v>
      </c>
      <c r="C56" t="s">
        <v>77</v>
      </c>
      <c r="D56" t="s">
        <v>1</v>
      </c>
      <c r="E56" t="s">
        <v>2</v>
      </c>
      <c r="F56" t="s">
        <v>3</v>
      </c>
      <c r="G56" t="s">
        <v>154</v>
      </c>
      <c r="H56" t="s">
        <v>22</v>
      </c>
      <c r="I56" t="s">
        <v>78</v>
      </c>
      <c r="J56" t="s">
        <v>79</v>
      </c>
    </row>
    <row r="57" spans="1:29">
      <c r="A57" t="s">
        <v>80</v>
      </c>
      <c r="B57" t="s">
        <v>81</v>
      </c>
    </row>
    <row r="58" spans="1:29">
      <c r="A58" t="s">
        <v>82</v>
      </c>
      <c r="B58" t="s">
        <v>83</v>
      </c>
    </row>
    <row r="59" spans="1:29">
      <c r="A59" t="s">
        <v>84</v>
      </c>
      <c r="B59" t="s">
        <v>85</v>
      </c>
    </row>
    <row r="60" spans="1:29">
      <c r="A60" t="s">
        <v>86</v>
      </c>
      <c r="B60" t="s">
        <v>87</v>
      </c>
    </row>
    <row r="61" spans="1:29">
      <c r="A61" t="s">
        <v>88</v>
      </c>
      <c r="B61" t="s">
        <v>89</v>
      </c>
    </row>
    <row r="62" spans="1:29">
      <c r="A62" t="s">
        <v>90</v>
      </c>
      <c r="B62" t="s">
        <v>91</v>
      </c>
    </row>
    <row r="63" spans="1:29">
      <c r="A63" t="s">
        <v>92</v>
      </c>
      <c r="B63" t="s">
        <v>93</v>
      </c>
    </row>
    <row r="64" spans="1:29">
      <c r="A64" t="s">
        <v>94</v>
      </c>
      <c r="B64" t="s">
        <v>95</v>
      </c>
    </row>
    <row r="65" spans="1:2">
      <c r="A65" t="s">
        <v>96</v>
      </c>
      <c r="B65" t="s">
        <v>97</v>
      </c>
    </row>
    <row r="66" spans="1:2">
      <c r="A66" t="s">
        <v>98</v>
      </c>
      <c r="B66" t="s">
        <v>99</v>
      </c>
    </row>
    <row r="67" spans="1:2">
      <c r="A67" t="s">
        <v>100</v>
      </c>
      <c r="B67" t="s">
        <v>101</v>
      </c>
    </row>
    <row r="68" spans="1:2">
      <c r="A68" t="s">
        <v>102</v>
      </c>
      <c r="B68" t="s">
        <v>103</v>
      </c>
    </row>
    <row r="69" spans="1:2">
      <c r="A69" t="s">
        <v>104</v>
      </c>
      <c r="B69" t="s">
        <v>117</v>
      </c>
    </row>
    <row r="70" spans="1:2">
      <c r="A70" t="s">
        <v>105</v>
      </c>
      <c r="B70" t="s">
        <v>118</v>
      </c>
    </row>
    <row r="71" spans="1:2">
      <c r="A71" t="s">
        <v>106</v>
      </c>
      <c r="B71" t="s">
        <v>107</v>
      </c>
    </row>
    <row r="72" spans="1:2">
      <c r="A72" t="s">
        <v>108</v>
      </c>
      <c r="B72" t="s">
        <v>109</v>
      </c>
    </row>
    <row r="73" spans="1:2">
      <c r="A73" t="s">
        <v>110</v>
      </c>
      <c r="B73" t="s">
        <v>111</v>
      </c>
    </row>
    <row r="74" spans="1:2">
      <c r="A74" t="s">
        <v>112</v>
      </c>
      <c r="B74" t="s">
        <v>113</v>
      </c>
    </row>
    <row r="75" spans="1:2">
      <c r="A75" t="s">
        <v>114</v>
      </c>
      <c r="B75" t="s">
        <v>115</v>
      </c>
    </row>
    <row r="76" spans="1:2">
      <c r="A76" t="s">
        <v>116</v>
      </c>
      <c r="B76" t="s">
        <v>119</v>
      </c>
    </row>
    <row r="77" spans="1:2">
      <c r="A77">
        <v>21</v>
      </c>
      <c r="B77" t="s">
        <v>121</v>
      </c>
    </row>
    <row r="78" spans="1:2">
      <c r="A78">
        <v>22</v>
      </c>
      <c r="B78" t="s">
        <v>122</v>
      </c>
    </row>
    <row r="79" spans="1:2">
      <c r="A79">
        <v>23</v>
      </c>
      <c r="B79" t="s">
        <v>122</v>
      </c>
    </row>
    <row r="80" spans="1:2">
      <c r="A80">
        <v>24</v>
      </c>
      <c r="B80" t="s">
        <v>123</v>
      </c>
    </row>
    <row r="81" spans="1:2">
      <c r="A81">
        <v>25</v>
      </c>
      <c r="B81" t="s">
        <v>124</v>
      </c>
    </row>
    <row r="82" spans="1:2">
      <c r="A82">
        <v>26</v>
      </c>
      <c r="B82" t="s">
        <v>123</v>
      </c>
    </row>
  </sheetData>
  <mergeCells count="56">
    <mergeCell ref="R2:R3"/>
    <mergeCell ref="W2:Y2"/>
    <mergeCell ref="Z2:AA2"/>
    <mergeCell ref="AB2:AC2"/>
    <mergeCell ref="B1:R1"/>
    <mergeCell ref="L2:M2"/>
    <mergeCell ref="N2:O2"/>
    <mergeCell ref="P2:P3"/>
    <mergeCell ref="Q2:Q3"/>
    <mergeCell ref="S2:T2"/>
    <mergeCell ref="U2:V2"/>
    <mergeCell ref="A2:A13"/>
    <mergeCell ref="D2:E2"/>
    <mergeCell ref="F2:G2"/>
    <mergeCell ref="H2:I2"/>
    <mergeCell ref="J2:K2"/>
    <mergeCell ref="L15:M15"/>
    <mergeCell ref="Q41:Q42"/>
    <mergeCell ref="L29:M29"/>
    <mergeCell ref="P29:P30"/>
    <mergeCell ref="Q29:Q30"/>
    <mergeCell ref="B28:R28"/>
    <mergeCell ref="F29:G29"/>
    <mergeCell ref="H29:I29"/>
    <mergeCell ref="J29:K29"/>
    <mergeCell ref="Z15:AA15"/>
    <mergeCell ref="AB15:AC15"/>
    <mergeCell ref="B14:R14"/>
    <mergeCell ref="F41:G41"/>
    <mergeCell ref="H41:I41"/>
    <mergeCell ref="J41:K41"/>
    <mergeCell ref="AB29:AC29"/>
    <mergeCell ref="N15:O15"/>
    <mergeCell ref="AB41:AC41"/>
    <mergeCell ref="R41:R42"/>
    <mergeCell ref="R29:R30"/>
    <mergeCell ref="P15:P16"/>
    <mergeCell ref="Q15:Q16"/>
    <mergeCell ref="R15:R16"/>
    <mergeCell ref="W15:Y15"/>
    <mergeCell ref="D29:E29"/>
    <mergeCell ref="A15:A26"/>
    <mergeCell ref="D15:E15"/>
    <mergeCell ref="F15:G15"/>
    <mergeCell ref="H15:I15"/>
    <mergeCell ref="J15:K15"/>
    <mergeCell ref="Z29:AA29"/>
    <mergeCell ref="W41:Y41"/>
    <mergeCell ref="Z41:AA41"/>
    <mergeCell ref="A55:K55"/>
    <mergeCell ref="A29:A40"/>
    <mergeCell ref="A41:A52"/>
    <mergeCell ref="L41:M41"/>
    <mergeCell ref="P41:P42"/>
    <mergeCell ref="W29:Y29"/>
    <mergeCell ref="D41:E41"/>
  </mergeCells>
  <pageMargins left="0.7" right="0.7" top="0.75" bottom="0.75" header="0.3" footer="0.3"/>
  <pageSetup paperSize="9" scale="54" orientation="landscape" r:id="rId1"/>
  <rowBreaks count="2" manualBreakCount="2">
    <brk id="26" max="24" man="1"/>
    <brk id="40" max="24" man="1"/>
  </rowBreaks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9"/>
  <sheetViews>
    <sheetView view="pageBreakPreview" zoomScaleSheetLayoutView="100" workbookViewId="0">
      <pane xSplit="3" ySplit="5" topLeftCell="D6" activePane="bottomRight" state="frozen"/>
      <selection pane="topRight" activeCell="C1" sqref="C1"/>
      <selection pane="bottomLeft" activeCell="A4" sqref="A4"/>
      <selection pane="bottomRight" activeCell="Z5" sqref="Z5"/>
    </sheetView>
  </sheetViews>
  <sheetFormatPr defaultRowHeight="15"/>
  <cols>
    <col min="2" max="2" width="12.85546875" customWidth="1"/>
    <col min="3" max="3" width="18.7109375" customWidth="1"/>
    <col min="4" max="4" width="7.7109375" customWidth="1"/>
    <col min="5" max="5" width="7.85546875" customWidth="1"/>
    <col min="6" max="6" width="5.7109375" customWidth="1"/>
    <col min="7" max="7" width="6.28515625" customWidth="1"/>
    <col min="8" max="8" width="9.140625" customWidth="1"/>
    <col min="9" max="9" width="7.7109375" customWidth="1"/>
    <col min="10" max="10" width="7.42578125" customWidth="1"/>
    <col min="11" max="11" width="7.140625" customWidth="1"/>
    <col min="12" max="12" width="5.5703125" customWidth="1"/>
    <col min="13" max="13" width="7.5703125" customWidth="1"/>
    <col min="14" max="14" width="5.140625" customWidth="1"/>
    <col min="15" max="15" width="7.5703125" customWidth="1"/>
    <col min="16" max="16" width="6.28515625" customWidth="1"/>
    <col min="17" max="17" width="7.5703125" customWidth="1"/>
    <col min="18" max="20" width="7.7109375" customWidth="1"/>
    <col min="21" max="21" width="6.140625" customWidth="1"/>
    <col min="22" max="22" width="6.7109375" customWidth="1"/>
    <col min="23" max="23" width="6.42578125" customWidth="1"/>
    <col min="24" max="24" width="9" customWidth="1"/>
    <col min="25" max="25" width="5.7109375" customWidth="1"/>
    <col min="26" max="26" width="8.5703125" customWidth="1"/>
    <col min="27" max="27" width="9.42578125" bestFit="1" customWidth="1"/>
    <col min="28" max="28" width="14.140625" bestFit="1" customWidth="1"/>
    <col min="29" max="29" width="11.5703125" bestFit="1" customWidth="1"/>
    <col min="30" max="30" width="11.7109375" bestFit="1" customWidth="1"/>
  </cols>
  <sheetData>
    <row r="1" spans="1:27">
      <c r="B1" s="1" t="s">
        <v>210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99" customHeight="1">
      <c r="A2" s="1" t="s">
        <v>184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174</v>
      </c>
      <c r="O2" s="1"/>
      <c r="P2" s="1" t="s">
        <v>24</v>
      </c>
      <c r="Q2" s="1" t="s">
        <v>14</v>
      </c>
      <c r="R2" s="1" t="s">
        <v>216</v>
      </c>
      <c r="S2" s="1" t="s">
        <v>226</v>
      </c>
      <c r="T2" s="1"/>
      <c r="U2" s="1" t="s">
        <v>227</v>
      </c>
      <c r="V2" s="1"/>
      <c r="W2" s="1" t="s">
        <v>228</v>
      </c>
      <c r="X2" s="1"/>
      <c r="Y2" s="1" t="s">
        <v>215</v>
      </c>
      <c r="Z2" s="1"/>
    </row>
    <row r="3" spans="1:27" ht="101.25" customHeight="1">
      <c r="A3" s="1"/>
      <c r="D3" t="s">
        <v>8</v>
      </c>
      <c r="E3" t="s">
        <v>18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t="s">
        <v>8</v>
      </c>
      <c r="O3" t="s">
        <v>10</v>
      </c>
      <c r="P3" s="1"/>
      <c r="Q3" s="1"/>
      <c r="R3" s="1"/>
      <c r="S3" t="s">
        <v>8</v>
      </c>
      <c r="T3" t="s">
        <v>10</v>
      </c>
      <c r="U3" t="s">
        <v>8</v>
      </c>
      <c r="V3" t="s">
        <v>10</v>
      </c>
      <c r="W3" t="s">
        <v>8</v>
      </c>
      <c r="X3" t="s">
        <v>10</v>
      </c>
      <c r="Y3" t="s">
        <v>8</v>
      </c>
      <c r="Z3" t="s">
        <v>10</v>
      </c>
    </row>
    <row r="4" spans="1:27" ht="21" customHeight="1">
      <c r="A4" s="1"/>
      <c r="B4">
        <v>1</v>
      </c>
      <c r="C4" t="s">
        <v>0</v>
      </c>
      <c r="D4">
        <v>56</v>
      </c>
      <c r="E4">
        <f>D4/57</f>
        <v>0.98245614035087714</v>
      </c>
      <c r="F4">
        <v>8</v>
      </c>
      <c r="G4">
        <f>F4/D4</f>
        <v>0.14285714285714285</v>
      </c>
      <c r="H4">
        <v>23</v>
      </c>
      <c r="I4">
        <f>H4/D4</f>
        <v>0.4107142857142857</v>
      </c>
      <c r="J4">
        <v>24</v>
      </c>
      <c r="K4">
        <f>J4/D4</f>
        <v>0.42857142857142855</v>
      </c>
      <c r="L4">
        <v>1</v>
      </c>
      <c r="M4">
        <f>L4/D4</f>
        <v>1.7857142857142856E-2</v>
      </c>
      <c r="O4">
        <f>N4/D4</f>
        <v>0</v>
      </c>
      <c r="P4">
        <f>(F4*5+H4*4+J4*3+1*2)/D4</f>
        <v>3.6785714285714284</v>
      </c>
      <c r="Q4">
        <f>1349/D4</f>
        <v>24.089285714285715</v>
      </c>
      <c r="R4">
        <f t="shared" ref="R4:R11" si="0">Q4/33</f>
        <v>0.72997835497835506</v>
      </c>
      <c r="S4">
        <v>3</v>
      </c>
      <c r="T4">
        <f>S4/D4</f>
        <v>5.3571428571428568E-2</v>
      </c>
      <c r="U4">
        <v>3</v>
      </c>
      <c r="V4">
        <f>U4/D4</f>
        <v>5.3571428571428568E-2</v>
      </c>
      <c r="W4">
        <v>5</v>
      </c>
      <c r="X4">
        <f>W4/D4</f>
        <v>8.9285714285714288E-2</v>
      </c>
      <c r="Y4">
        <v>0</v>
      </c>
      <c r="Z4">
        <f t="shared" ref="Z4:Z11" si="1">Y4/D4</f>
        <v>0</v>
      </c>
      <c r="AA4">
        <f t="shared" ref="AA4:AA11" si="2">F4+H4+J4+L4</f>
        <v>56</v>
      </c>
    </row>
    <row r="5" spans="1:27">
      <c r="A5" s="1"/>
      <c r="B5">
        <v>2</v>
      </c>
      <c r="C5" t="s">
        <v>1</v>
      </c>
      <c r="D5">
        <v>46</v>
      </c>
      <c r="E5">
        <f>D5/60</f>
        <v>0.76666666666666672</v>
      </c>
      <c r="F5">
        <v>14</v>
      </c>
      <c r="G5">
        <f t="shared" ref="G5:G11" si="3">F5/D5</f>
        <v>0.30434782608695654</v>
      </c>
      <c r="H5">
        <v>19</v>
      </c>
      <c r="I5">
        <f t="shared" ref="I5:I11" si="4">H5/D5</f>
        <v>0.41304347826086957</v>
      </c>
      <c r="J5">
        <v>12</v>
      </c>
      <c r="K5">
        <f t="shared" ref="K5:K11" si="5">J5/D5</f>
        <v>0.2608695652173913</v>
      </c>
      <c r="L5">
        <v>1</v>
      </c>
      <c r="M5">
        <f>L5/D5</f>
        <v>2.1739130434782608E-2</v>
      </c>
      <c r="O5">
        <f t="shared" ref="O5:O12" si="6">N5/D5</f>
        <v>0</v>
      </c>
      <c r="P5">
        <f>(F5*5+H5*4+J5*3)/D5</f>
        <v>3.9565217391304346</v>
      </c>
      <c r="Q5">
        <f>1175/D5</f>
        <v>25.543478260869566</v>
      </c>
      <c r="R5">
        <f t="shared" si="0"/>
        <v>0.77404479578392626</v>
      </c>
      <c r="S5">
        <v>2</v>
      </c>
      <c r="T5">
        <f t="shared" ref="T5:T11" si="7">S5/D5</f>
        <v>4.3478260869565216E-2</v>
      </c>
      <c r="U5">
        <v>8</v>
      </c>
      <c r="V5">
        <f t="shared" ref="V5:V11" si="8">U5/D5</f>
        <v>0.17391304347826086</v>
      </c>
      <c r="W5">
        <v>6</v>
      </c>
      <c r="X5">
        <f>W5/D5</f>
        <v>0.13043478260869565</v>
      </c>
      <c r="Y5">
        <v>2</v>
      </c>
      <c r="Z5">
        <f t="shared" si="1"/>
        <v>4.3478260869565216E-2</v>
      </c>
      <c r="AA5">
        <f t="shared" si="2"/>
        <v>46</v>
      </c>
    </row>
    <row r="6" spans="1:27">
      <c r="A6" s="1"/>
      <c r="B6">
        <v>3</v>
      </c>
      <c r="C6" t="s">
        <v>2</v>
      </c>
      <c r="D6">
        <v>86</v>
      </c>
      <c r="E6">
        <f>D6/108</f>
        <v>0.79629629629629628</v>
      </c>
      <c r="F6">
        <v>12</v>
      </c>
      <c r="G6">
        <f t="shared" si="3"/>
        <v>0.13953488372093023</v>
      </c>
      <c r="H6">
        <v>40</v>
      </c>
      <c r="I6">
        <f t="shared" si="4"/>
        <v>0.46511627906976744</v>
      </c>
      <c r="J6">
        <v>33</v>
      </c>
      <c r="K6">
        <f t="shared" si="5"/>
        <v>0.38372093023255816</v>
      </c>
      <c r="L6">
        <v>1</v>
      </c>
      <c r="M6">
        <f t="shared" ref="M6:M12" si="9">L6/D6</f>
        <v>1.1627906976744186E-2</v>
      </c>
      <c r="N6">
        <v>1</v>
      </c>
      <c r="O6">
        <f t="shared" si="6"/>
        <v>1.1627906976744186E-2</v>
      </c>
      <c r="P6">
        <f>(F6*5+H6*4+J6*3+N6*2)/D6</f>
        <v>3.7325581395348837</v>
      </c>
      <c r="Q6">
        <f>2071/D6</f>
        <v>24.081395348837209</v>
      </c>
      <c r="R6">
        <f t="shared" si="0"/>
        <v>0.72973925299506692</v>
      </c>
      <c r="S6">
        <v>3</v>
      </c>
      <c r="T6">
        <f t="shared" si="7"/>
        <v>3.4883720930232558E-2</v>
      </c>
      <c r="U6">
        <v>7</v>
      </c>
      <c r="V6">
        <f t="shared" si="8"/>
        <v>8.1395348837209308E-2</v>
      </c>
      <c r="W6">
        <v>0</v>
      </c>
      <c r="X6">
        <f>W6/D6</f>
        <v>0</v>
      </c>
      <c r="Y6">
        <v>1</v>
      </c>
      <c r="Z6">
        <f t="shared" si="1"/>
        <v>1.1627906976744186E-2</v>
      </c>
      <c r="AA6">
        <f t="shared" si="2"/>
        <v>86</v>
      </c>
    </row>
    <row r="7" spans="1:27">
      <c r="A7" s="1"/>
      <c r="B7">
        <v>4</v>
      </c>
      <c r="C7" t="s">
        <v>3</v>
      </c>
      <c r="D7">
        <v>69</v>
      </c>
      <c r="E7">
        <f>D7/84</f>
        <v>0.8214285714285714</v>
      </c>
      <c r="F7">
        <v>15</v>
      </c>
      <c r="G7">
        <f t="shared" si="3"/>
        <v>0.21739130434782608</v>
      </c>
      <c r="H7">
        <v>30</v>
      </c>
      <c r="I7">
        <f t="shared" si="4"/>
        <v>0.43478260869565216</v>
      </c>
      <c r="J7">
        <v>23</v>
      </c>
      <c r="K7">
        <f t="shared" si="5"/>
        <v>0.33333333333333331</v>
      </c>
      <c r="L7">
        <v>1</v>
      </c>
      <c r="M7">
        <f t="shared" si="9"/>
        <v>1.4492753623188406E-2</v>
      </c>
      <c r="O7">
        <f t="shared" si="6"/>
        <v>0</v>
      </c>
      <c r="P7">
        <f>(F7*5+H7*4+J7*3)/D7</f>
        <v>3.8260869565217392</v>
      </c>
      <c r="Q7">
        <f>1727/D7</f>
        <v>25.028985507246375</v>
      </c>
      <c r="R7">
        <f t="shared" si="0"/>
        <v>0.75845410628019316</v>
      </c>
      <c r="S7">
        <v>1</v>
      </c>
      <c r="T7">
        <f t="shared" si="7"/>
        <v>1.4492753623188406E-2</v>
      </c>
      <c r="U7">
        <v>8</v>
      </c>
      <c r="V7">
        <f t="shared" si="8"/>
        <v>0.11594202898550725</v>
      </c>
      <c r="W7">
        <v>1</v>
      </c>
      <c r="X7">
        <v>0</v>
      </c>
      <c r="Y7">
        <v>0</v>
      </c>
      <c r="Z7">
        <f t="shared" si="1"/>
        <v>0</v>
      </c>
      <c r="AA7">
        <f t="shared" si="2"/>
        <v>69</v>
      </c>
    </row>
    <row r="8" spans="1:27">
      <c r="A8" s="1"/>
      <c r="B8">
        <v>5</v>
      </c>
      <c r="C8" t="s">
        <v>4</v>
      </c>
      <c r="D8">
        <v>2</v>
      </c>
      <c r="E8">
        <f>D8/6</f>
        <v>0.33333333333333331</v>
      </c>
      <c r="F8">
        <v>1</v>
      </c>
      <c r="G8">
        <f t="shared" si="3"/>
        <v>0.5</v>
      </c>
      <c r="H8">
        <v>0</v>
      </c>
      <c r="I8">
        <f t="shared" si="4"/>
        <v>0</v>
      </c>
      <c r="J8">
        <v>1</v>
      </c>
      <c r="K8">
        <f t="shared" si="5"/>
        <v>0.5</v>
      </c>
      <c r="L8">
        <v>0</v>
      </c>
      <c r="M8">
        <f t="shared" si="9"/>
        <v>0</v>
      </c>
      <c r="O8">
        <f t="shared" si="6"/>
        <v>0</v>
      </c>
      <c r="P8">
        <f>(F8*5+H8*4+J8*3+N8*2)/D8</f>
        <v>4</v>
      </c>
      <c r="Q8">
        <f>48/D8</f>
        <v>24</v>
      </c>
      <c r="R8">
        <f t="shared" si="0"/>
        <v>0.72727272727272729</v>
      </c>
      <c r="S8">
        <v>0</v>
      </c>
      <c r="T8">
        <f t="shared" si="7"/>
        <v>0</v>
      </c>
      <c r="U8">
        <v>0</v>
      </c>
      <c r="V8">
        <f t="shared" si="8"/>
        <v>0</v>
      </c>
      <c r="W8">
        <v>0</v>
      </c>
      <c r="X8">
        <v>0</v>
      </c>
      <c r="Y8">
        <v>0</v>
      </c>
      <c r="Z8">
        <f t="shared" si="1"/>
        <v>0</v>
      </c>
      <c r="AA8">
        <f t="shared" si="2"/>
        <v>2</v>
      </c>
    </row>
    <row r="9" spans="1:27">
      <c r="A9" s="1"/>
      <c r="B9">
        <v>6</v>
      </c>
      <c r="C9" t="s">
        <v>5</v>
      </c>
      <c r="D9">
        <v>13</v>
      </c>
      <c r="E9">
        <f>D9/17</f>
        <v>0.76470588235294112</v>
      </c>
      <c r="F9">
        <v>1</v>
      </c>
      <c r="G9">
        <f t="shared" si="3"/>
        <v>7.6923076923076927E-2</v>
      </c>
      <c r="H9">
        <v>5</v>
      </c>
      <c r="I9">
        <f t="shared" si="4"/>
        <v>0.38461538461538464</v>
      </c>
      <c r="J9">
        <v>6</v>
      </c>
      <c r="K9">
        <f t="shared" si="5"/>
        <v>0.46153846153846156</v>
      </c>
      <c r="L9">
        <v>1</v>
      </c>
      <c r="M9">
        <f t="shared" si="9"/>
        <v>7.6923076923076927E-2</v>
      </c>
      <c r="O9">
        <f t="shared" si="6"/>
        <v>0</v>
      </c>
      <c r="P9">
        <f>(F9*5+H9*4+J9*3+2)/D9</f>
        <v>3.4615384615384617</v>
      </c>
      <c r="Q9">
        <v>21.7</v>
      </c>
      <c r="R9">
        <f t="shared" si="0"/>
        <v>0.65757575757575759</v>
      </c>
      <c r="S9">
        <v>1</v>
      </c>
      <c r="T9">
        <f t="shared" si="7"/>
        <v>7.6923076923076927E-2</v>
      </c>
      <c r="U9">
        <v>1</v>
      </c>
      <c r="V9">
        <f t="shared" si="8"/>
        <v>7.6923076923076927E-2</v>
      </c>
      <c r="W9">
        <v>0</v>
      </c>
      <c r="X9">
        <f>W9/D9</f>
        <v>0</v>
      </c>
      <c r="Y9">
        <v>0</v>
      </c>
      <c r="Z9">
        <f t="shared" si="1"/>
        <v>0</v>
      </c>
      <c r="AA9">
        <f t="shared" si="2"/>
        <v>13</v>
      </c>
    </row>
    <row r="10" spans="1:27" ht="31.5" customHeight="1">
      <c r="A10" s="1"/>
      <c r="B10">
        <v>7</v>
      </c>
      <c r="C10" t="s">
        <v>16</v>
      </c>
      <c r="D10">
        <v>6</v>
      </c>
      <c r="E10">
        <f>D10/9</f>
        <v>0.66666666666666663</v>
      </c>
      <c r="F10">
        <v>1</v>
      </c>
      <c r="G10">
        <v>0.16700000000000001</v>
      </c>
      <c r="H10">
        <v>2</v>
      </c>
      <c r="I10">
        <f t="shared" si="4"/>
        <v>0.33333333333333331</v>
      </c>
      <c r="J10">
        <v>3</v>
      </c>
      <c r="K10">
        <f t="shared" si="5"/>
        <v>0.5</v>
      </c>
      <c r="L10">
        <v>0</v>
      </c>
      <c r="M10">
        <f t="shared" si="9"/>
        <v>0</v>
      </c>
      <c r="O10">
        <f t="shared" si="6"/>
        <v>0</v>
      </c>
      <c r="P10">
        <f>(F10*5+H10*4+J10*3+N10*2)/D10</f>
        <v>3.6666666666666665</v>
      </c>
      <c r="Q10">
        <f>143/D10</f>
        <v>23.833333333333332</v>
      </c>
      <c r="R10">
        <f t="shared" si="0"/>
        <v>0.72222222222222221</v>
      </c>
      <c r="S10">
        <v>0</v>
      </c>
      <c r="T10">
        <f t="shared" si="7"/>
        <v>0</v>
      </c>
      <c r="U10">
        <v>1</v>
      </c>
      <c r="V10">
        <f t="shared" si="8"/>
        <v>0.16666666666666666</v>
      </c>
      <c r="W10">
        <v>0</v>
      </c>
      <c r="X10">
        <f>W10/D10</f>
        <v>0</v>
      </c>
      <c r="Y10">
        <v>0</v>
      </c>
      <c r="Z10">
        <f t="shared" si="1"/>
        <v>0</v>
      </c>
      <c r="AA10">
        <f t="shared" si="2"/>
        <v>6</v>
      </c>
    </row>
    <row r="11" spans="1:27">
      <c r="A11" s="1"/>
      <c r="B11">
        <v>8</v>
      </c>
      <c r="C11" t="s">
        <v>17</v>
      </c>
      <c r="D11">
        <v>3</v>
      </c>
      <c r="E11">
        <f>D11/3</f>
        <v>1</v>
      </c>
      <c r="F11">
        <v>0</v>
      </c>
      <c r="G11">
        <f t="shared" si="3"/>
        <v>0</v>
      </c>
      <c r="H11">
        <v>1</v>
      </c>
      <c r="I11">
        <f t="shared" si="4"/>
        <v>0.33333333333333331</v>
      </c>
      <c r="J11">
        <v>2</v>
      </c>
      <c r="K11">
        <f t="shared" si="5"/>
        <v>0.66666666666666663</v>
      </c>
      <c r="L11">
        <v>0</v>
      </c>
      <c r="M11">
        <f t="shared" si="9"/>
        <v>0</v>
      </c>
      <c r="O11">
        <f t="shared" si="6"/>
        <v>0</v>
      </c>
      <c r="P11">
        <f>(F11*5+H11*4+J11*3+N11*2)/D11</f>
        <v>3.3333333333333335</v>
      </c>
      <c r="Q11">
        <f>62/D11</f>
        <v>20.666666666666668</v>
      </c>
      <c r="R11">
        <f t="shared" si="0"/>
        <v>0.6262626262626263</v>
      </c>
      <c r="S11">
        <v>0</v>
      </c>
      <c r="T11">
        <f t="shared" si="7"/>
        <v>0</v>
      </c>
      <c r="U11">
        <v>0</v>
      </c>
      <c r="V11">
        <f t="shared" si="8"/>
        <v>0</v>
      </c>
      <c r="W11">
        <v>0</v>
      </c>
      <c r="X11">
        <f>W11/D11</f>
        <v>0</v>
      </c>
      <c r="Y11">
        <v>0</v>
      </c>
      <c r="Z11">
        <f t="shared" si="1"/>
        <v>0</v>
      </c>
      <c r="AA11">
        <f t="shared" si="2"/>
        <v>3</v>
      </c>
    </row>
    <row r="12" spans="1:27">
      <c r="A12" s="1"/>
      <c r="C12" t="s">
        <v>6</v>
      </c>
      <c r="D12">
        <f>D4+D5+D6+D7+D8+D9+D10+D11</f>
        <v>281</v>
      </c>
      <c r="E12">
        <f>D12/344</f>
        <v>0.81686046511627908</v>
      </c>
      <c r="F12">
        <f>SUM(F4:F11)</f>
        <v>52</v>
      </c>
      <c r="G12">
        <v>0.185</v>
      </c>
      <c r="H12">
        <f>SUM(H4:H11)</f>
        <v>120</v>
      </c>
      <c r="I12">
        <f>H12/D12</f>
        <v>0.42704626334519574</v>
      </c>
      <c r="J12">
        <f>SUM(J4:J11)</f>
        <v>104</v>
      </c>
      <c r="K12">
        <f>J12/D12</f>
        <v>0.37010676156583627</v>
      </c>
      <c r="L12">
        <f>SUM(L4:L11)</f>
        <v>5</v>
      </c>
      <c r="M12">
        <f t="shared" si="9"/>
        <v>1.7793594306049824E-2</v>
      </c>
      <c r="N12">
        <f>SUM(N4:N11)</f>
        <v>1</v>
      </c>
      <c r="O12">
        <f t="shared" si="6"/>
        <v>3.5587188612099642E-3</v>
      </c>
      <c r="P12">
        <f>(F12*5+H12*4+J12*3+L12*2)/D12</f>
        <v>3.7793594306049823</v>
      </c>
      <c r="Q12">
        <v>24.4</v>
      </c>
      <c r="R12">
        <f>Q12/33</f>
        <v>0.73939393939393938</v>
      </c>
      <c r="S12">
        <f>SUM(S4:S11)</f>
        <v>10</v>
      </c>
      <c r="T12">
        <f>S12/D12</f>
        <v>3.5587188612099648E-2</v>
      </c>
      <c r="U12">
        <f>SUM(U4:U11)</f>
        <v>28</v>
      </c>
      <c r="V12">
        <f>U12/D12</f>
        <v>9.9644128113879002E-2</v>
      </c>
      <c r="W12">
        <f>SUM(W4:W11)</f>
        <v>12</v>
      </c>
      <c r="X12">
        <f>W12/D12</f>
        <v>4.2704626334519574E-2</v>
      </c>
      <c r="Y12">
        <f>SUM(Y4:Y11)</f>
        <v>3</v>
      </c>
      <c r="Z12">
        <f>Y12/D12</f>
        <v>1.0676156583629894E-2</v>
      </c>
    </row>
    <row r="13" spans="1:27">
      <c r="A13" s="1"/>
      <c r="C13" t="s">
        <v>21</v>
      </c>
    </row>
    <row r="14" spans="1:27">
      <c r="B14" s="1" t="s">
        <v>161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7">
      <c r="A15" s="1" t="s">
        <v>160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174</v>
      </c>
      <c r="O15" s="1"/>
      <c r="P15" s="1" t="s">
        <v>24</v>
      </c>
      <c r="Q15" s="1" t="s">
        <v>14</v>
      </c>
      <c r="R15" s="1" t="s">
        <v>129</v>
      </c>
      <c r="W15" s="1" t="s">
        <v>30</v>
      </c>
      <c r="X15" s="1"/>
      <c r="Y15" s="1" t="s">
        <v>155</v>
      </c>
      <c r="Z15" s="1"/>
    </row>
    <row r="16" spans="1:27">
      <c r="A16" s="1"/>
      <c r="D16" t="s">
        <v>8</v>
      </c>
      <c r="E16" t="s">
        <v>18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t="s">
        <v>8</v>
      </c>
      <c r="O16" t="s">
        <v>10</v>
      </c>
      <c r="P16" s="1"/>
      <c r="Q16" s="1"/>
      <c r="R16" s="1"/>
      <c r="W16" t="s">
        <v>8</v>
      </c>
      <c r="X16" t="s">
        <v>10</v>
      </c>
      <c r="Y16" t="s">
        <v>8</v>
      </c>
      <c r="Z16" t="s">
        <v>10</v>
      </c>
    </row>
    <row r="17" spans="1:26">
      <c r="A17" s="1"/>
      <c r="B17">
        <v>1</v>
      </c>
      <c r="C17" t="s">
        <v>0</v>
      </c>
      <c r="D17">
        <v>44</v>
      </c>
      <c r="E17">
        <f>D17/44</f>
        <v>1</v>
      </c>
      <c r="F17">
        <v>19</v>
      </c>
      <c r="G17">
        <f>F17/D17</f>
        <v>0.43181818181818182</v>
      </c>
      <c r="H17">
        <v>15</v>
      </c>
      <c r="I17">
        <f>H17/D17</f>
        <v>0.34090909090909088</v>
      </c>
      <c r="J17">
        <v>10</v>
      </c>
      <c r="K17">
        <f>J17/D17</f>
        <v>0.22727272727272727</v>
      </c>
      <c r="L17">
        <v>0</v>
      </c>
      <c r="M17">
        <f>L17/D17</f>
        <v>0</v>
      </c>
      <c r="O17">
        <f>N17/D17</f>
        <v>0</v>
      </c>
      <c r="P17">
        <f>(F17*5+H17*4+J17*3+N17*2)/D17</f>
        <v>4.2045454545454541</v>
      </c>
      <c r="Q17">
        <f>1379/D17</f>
        <v>31.34090909090909</v>
      </c>
      <c r="R17">
        <f t="shared" ref="R17:R25" si="10">Q17/39</f>
        <v>0.80361305361305357</v>
      </c>
      <c r="W17">
        <v>9</v>
      </c>
      <c r="X17">
        <f t="shared" ref="X17:X25" si="11">W17/D17</f>
        <v>0.20454545454545456</v>
      </c>
      <c r="Y17">
        <v>0</v>
      </c>
      <c r="Z17">
        <f t="shared" ref="Z17:Z25" si="12">Y17/D17</f>
        <v>0</v>
      </c>
    </row>
    <row r="18" spans="1:26">
      <c r="A18" s="1"/>
      <c r="B18">
        <v>2</v>
      </c>
      <c r="C18" t="s">
        <v>1</v>
      </c>
      <c r="D18">
        <v>40</v>
      </c>
      <c r="E18">
        <f>D18/40</f>
        <v>1</v>
      </c>
      <c r="F18">
        <v>9</v>
      </c>
      <c r="G18">
        <f t="shared" ref="G18:G24" si="13">F18/D18</f>
        <v>0.22500000000000001</v>
      </c>
      <c r="H18">
        <v>10</v>
      </c>
      <c r="I18">
        <f t="shared" ref="I18:I24" si="14">H18/D18</f>
        <v>0.25</v>
      </c>
      <c r="J18">
        <v>21</v>
      </c>
      <c r="K18">
        <f t="shared" ref="K18:K24" si="15">J18/D18</f>
        <v>0.52500000000000002</v>
      </c>
      <c r="L18">
        <v>3</v>
      </c>
      <c r="M18">
        <f>L18/D18</f>
        <v>7.4999999999999997E-2</v>
      </c>
      <c r="N18">
        <v>0</v>
      </c>
      <c r="O18">
        <f t="shared" ref="O18:O25" si="16">N18/D18</f>
        <v>0</v>
      </c>
      <c r="P18">
        <f t="shared" ref="P18:P24" si="17">(F18*5+H18*4+J18*3+N18*2)/D18</f>
        <v>3.7</v>
      </c>
      <c r="Q18">
        <f>(1105-14+21-11+25-8+21)/D18</f>
        <v>28.475000000000001</v>
      </c>
      <c r="R18">
        <f t="shared" si="10"/>
        <v>0.7301282051282052</v>
      </c>
      <c r="W18">
        <v>6</v>
      </c>
      <c r="X18">
        <f t="shared" si="11"/>
        <v>0.15</v>
      </c>
      <c r="Y18">
        <v>1</v>
      </c>
      <c r="Z18">
        <f t="shared" si="12"/>
        <v>2.5000000000000001E-2</v>
      </c>
    </row>
    <row r="19" spans="1:26">
      <c r="A19" s="1"/>
      <c r="B19">
        <v>3</v>
      </c>
      <c r="C19" t="s">
        <v>2</v>
      </c>
      <c r="D19">
        <v>100</v>
      </c>
      <c r="E19">
        <f>D19/101</f>
        <v>0.99009900990099009</v>
      </c>
      <c r="F19">
        <v>33</v>
      </c>
      <c r="G19">
        <f t="shared" si="13"/>
        <v>0.33</v>
      </c>
      <c r="H19">
        <v>45</v>
      </c>
      <c r="I19">
        <f t="shared" si="14"/>
        <v>0.45</v>
      </c>
      <c r="J19">
        <v>22</v>
      </c>
      <c r="K19">
        <f t="shared" si="15"/>
        <v>0.22</v>
      </c>
      <c r="L19">
        <v>0</v>
      </c>
      <c r="M19">
        <f t="shared" ref="M19:M25" si="18">L19/D19</f>
        <v>0</v>
      </c>
      <c r="O19">
        <f t="shared" si="16"/>
        <v>0</v>
      </c>
      <c r="P19">
        <f t="shared" si="17"/>
        <v>4.1100000000000003</v>
      </c>
      <c r="Q19">
        <f>3139/D19</f>
        <v>31.39</v>
      </c>
      <c r="R19">
        <f t="shared" si="10"/>
        <v>0.80487179487179483</v>
      </c>
      <c r="W19">
        <v>17</v>
      </c>
      <c r="X19">
        <f t="shared" si="11"/>
        <v>0.17</v>
      </c>
      <c r="Y19">
        <v>3</v>
      </c>
      <c r="Z19">
        <f t="shared" si="12"/>
        <v>0.03</v>
      </c>
    </row>
    <row r="20" spans="1:26">
      <c r="A20" s="1"/>
      <c r="B20">
        <v>4</v>
      </c>
      <c r="C20" t="s">
        <v>3</v>
      </c>
      <c r="D20">
        <v>45</v>
      </c>
      <c r="E20">
        <f>D20/46</f>
        <v>0.97826086956521741</v>
      </c>
      <c r="F20">
        <v>11</v>
      </c>
      <c r="G20">
        <f t="shared" si="13"/>
        <v>0.24444444444444444</v>
      </c>
      <c r="H20">
        <v>17</v>
      </c>
      <c r="I20">
        <f t="shared" si="14"/>
        <v>0.37777777777777777</v>
      </c>
      <c r="J20">
        <v>17</v>
      </c>
      <c r="K20">
        <f t="shared" si="15"/>
        <v>0.37777777777777777</v>
      </c>
      <c r="L20">
        <v>0</v>
      </c>
      <c r="M20">
        <f t="shared" si="18"/>
        <v>0</v>
      </c>
      <c r="O20">
        <f t="shared" si="16"/>
        <v>0</v>
      </c>
      <c r="P20">
        <f t="shared" si="17"/>
        <v>3.8666666666666667</v>
      </c>
      <c r="Q20">
        <f>1345/D20</f>
        <v>29.888888888888889</v>
      </c>
      <c r="R20">
        <f t="shared" si="10"/>
        <v>0.76638176638176636</v>
      </c>
      <c r="W20">
        <v>3</v>
      </c>
      <c r="X20">
        <f t="shared" si="11"/>
        <v>6.6666666666666666E-2</v>
      </c>
      <c r="Y20">
        <v>0</v>
      </c>
      <c r="Z20">
        <f t="shared" si="12"/>
        <v>0</v>
      </c>
    </row>
    <row r="21" spans="1:26">
      <c r="A21" s="1"/>
      <c r="B21">
        <v>5</v>
      </c>
      <c r="C21" t="s">
        <v>4</v>
      </c>
      <c r="D21">
        <v>6</v>
      </c>
      <c r="E21">
        <f>D21/6</f>
        <v>1</v>
      </c>
      <c r="F21">
        <v>0</v>
      </c>
      <c r="G21">
        <f t="shared" si="13"/>
        <v>0</v>
      </c>
      <c r="H21">
        <v>1</v>
      </c>
      <c r="I21">
        <f t="shared" si="14"/>
        <v>0.16666666666666666</v>
      </c>
      <c r="J21">
        <v>5</v>
      </c>
      <c r="K21">
        <f t="shared" si="15"/>
        <v>0.83333333333333337</v>
      </c>
      <c r="L21">
        <v>0</v>
      </c>
      <c r="M21">
        <f t="shared" si="18"/>
        <v>0</v>
      </c>
      <c r="O21">
        <f t="shared" si="16"/>
        <v>0</v>
      </c>
      <c r="P21">
        <f t="shared" si="17"/>
        <v>3.1666666666666665</v>
      </c>
      <c r="Q21">
        <f>168/D21</f>
        <v>28</v>
      </c>
      <c r="R21">
        <f t="shared" si="10"/>
        <v>0.71794871794871795</v>
      </c>
      <c r="W21">
        <v>0</v>
      </c>
      <c r="X21">
        <f t="shared" si="11"/>
        <v>0</v>
      </c>
      <c r="Y21">
        <v>0</v>
      </c>
      <c r="Z21">
        <f t="shared" si="12"/>
        <v>0</v>
      </c>
    </row>
    <row r="22" spans="1:26">
      <c r="A22" s="1"/>
      <c r="B22">
        <v>6</v>
      </c>
      <c r="C22" t="s">
        <v>5</v>
      </c>
      <c r="D22">
        <v>12</v>
      </c>
      <c r="E22">
        <f>D22/12</f>
        <v>1</v>
      </c>
      <c r="F22">
        <v>3</v>
      </c>
      <c r="G22">
        <f t="shared" si="13"/>
        <v>0.25</v>
      </c>
      <c r="H22">
        <v>2</v>
      </c>
      <c r="I22">
        <f t="shared" si="14"/>
        <v>0.16666666666666666</v>
      </c>
      <c r="J22">
        <v>7</v>
      </c>
      <c r="K22">
        <f t="shared" si="15"/>
        <v>0.58333333333333337</v>
      </c>
      <c r="L22">
        <v>0</v>
      </c>
      <c r="M22">
        <f t="shared" si="18"/>
        <v>0</v>
      </c>
      <c r="O22">
        <f t="shared" si="16"/>
        <v>0</v>
      </c>
      <c r="P22">
        <f t="shared" si="17"/>
        <v>3.6666666666666665</v>
      </c>
      <c r="Q22">
        <f>319/D22</f>
        <v>26.583333333333332</v>
      </c>
      <c r="R22">
        <f t="shared" si="10"/>
        <v>0.68162393162393164</v>
      </c>
      <c r="W22">
        <v>0</v>
      </c>
      <c r="X22">
        <f t="shared" si="11"/>
        <v>0</v>
      </c>
      <c r="Y22">
        <v>0</v>
      </c>
      <c r="Z22">
        <f t="shared" si="12"/>
        <v>0</v>
      </c>
    </row>
    <row r="23" spans="1:26">
      <c r="A23" s="1"/>
      <c r="B23">
        <v>7</v>
      </c>
      <c r="C23" t="s">
        <v>16</v>
      </c>
      <c r="D23">
        <v>6</v>
      </c>
      <c r="E23">
        <f>D23/6</f>
        <v>1</v>
      </c>
      <c r="F23">
        <v>2</v>
      </c>
      <c r="G23">
        <f t="shared" si="13"/>
        <v>0.33333333333333331</v>
      </c>
      <c r="H23">
        <v>3</v>
      </c>
      <c r="I23">
        <f t="shared" si="14"/>
        <v>0.5</v>
      </c>
      <c r="J23">
        <v>1</v>
      </c>
      <c r="K23">
        <f t="shared" si="15"/>
        <v>0.16666666666666666</v>
      </c>
      <c r="L23">
        <v>0</v>
      </c>
      <c r="M23">
        <f t="shared" si="18"/>
        <v>0</v>
      </c>
      <c r="O23">
        <f t="shared" si="16"/>
        <v>0</v>
      </c>
      <c r="P23">
        <f t="shared" si="17"/>
        <v>4.166666666666667</v>
      </c>
      <c r="Q23">
        <f>198/D23</f>
        <v>33</v>
      </c>
      <c r="R23">
        <f t="shared" si="10"/>
        <v>0.84615384615384615</v>
      </c>
      <c r="W23">
        <v>1</v>
      </c>
      <c r="X23">
        <f t="shared" si="11"/>
        <v>0.16666666666666666</v>
      </c>
      <c r="Y23">
        <v>0</v>
      </c>
      <c r="Z23">
        <f t="shared" si="12"/>
        <v>0</v>
      </c>
    </row>
    <row r="24" spans="1:26">
      <c r="A24" s="1"/>
      <c r="B24">
        <v>8</v>
      </c>
      <c r="C24" t="s">
        <v>17</v>
      </c>
      <c r="D24">
        <v>2</v>
      </c>
      <c r="E24">
        <f>D24/2</f>
        <v>1</v>
      </c>
      <c r="F24">
        <v>1</v>
      </c>
      <c r="G24">
        <f t="shared" si="13"/>
        <v>0.5</v>
      </c>
      <c r="H24">
        <v>0</v>
      </c>
      <c r="I24">
        <f t="shared" si="14"/>
        <v>0</v>
      </c>
      <c r="J24">
        <v>1</v>
      </c>
      <c r="K24">
        <f t="shared" si="15"/>
        <v>0.5</v>
      </c>
      <c r="L24">
        <v>0</v>
      </c>
      <c r="M24">
        <f t="shared" si="18"/>
        <v>0</v>
      </c>
      <c r="O24">
        <f t="shared" si="16"/>
        <v>0</v>
      </c>
      <c r="P24">
        <f t="shared" si="17"/>
        <v>4</v>
      </c>
      <c r="Q24">
        <f>62/D24</f>
        <v>31</v>
      </c>
      <c r="R24">
        <f t="shared" si="10"/>
        <v>0.79487179487179482</v>
      </c>
      <c r="W24">
        <v>0</v>
      </c>
      <c r="X24">
        <f t="shared" si="11"/>
        <v>0</v>
      </c>
      <c r="Y24">
        <v>0</v>
      </c>
      <c r="Z24">
        <f t="shared" si="12"/>
        <v>0</v>
      </c>
    </row>
    <row r="25" spans="1:26">
      <c r="A25" s="1"/>
      <c r="C25" t="s">
        <v>6</v>
      </c>
      <c r="D25">
        <f>D17+D18+D19+D20+D21+D22+D23+D24</f>
        <v>255</v>
      </c>
      <c r="E25">
        <f>D25/257</f>
        <v>0.99221789883268485</v>
      </c>
      <c r="F25">
        <f>SUM(F17:F24)</f>
        <v>78</v>
      </c>
      <c r="G25">
        <f>F25/D25</f>
        <v>0.30588235294117649</v>
      </c>
      <c r="H25">
        <f>SUM(H17:H24)</f>
        <v>93</v>
      </c>
      <c r="I25">
        <f>H25/D25</f>
        <v>0.36470588235294116</v>
      </c>
      <c r="J25">
        <f>SUM(J17:J24)</f>
        <v>84</v>
      </c>
      <c r="K25">
        <f>J25/D25</f>
        <v>0.32941176470588235</v>
      </c>
      <c r="L25">
        <f>SUM(L17:L24)</f>
        <v>3</v>
      </c>
      <c r="M25">
        <f t="shared" si="18"/>
        <v>1.1764705882352941E-2</v>
      </c>
      <c r="N25">
        <f>SUM(N17:N24)</f>
        <v>0</v>
      </c>
      <c r="O25">
        <f t="shared" si="16"/>
        <v>0</v>
      </c>
      <c r="P25">
        <f>(F25*5+H25*4+J25*3+L25*2)/D25</f>
        <v>4</v>
      </c>
      <c r="Q25">
        <f>(7715-14+21-11+25-8+21)/D25</f>
        <v>30.388235294117646</v>
      </c>
      <c r="R25">
        <f t="shared" si="10"/>
        <v>0.77918552036199096</v>
      </c>
      <c r="W25">
        <f>SUM(W17:W24)</f>
        <v>36</v>
      </c>
      <c r="X25">
        <f t="shared" si="11"/>
        <v>0.14117647058823529</v>
      </c>
      <c r="Y25">
        <f>SUM(Y17:Y24)</f>
        <v>4</v>
      </c>
      <c r="Z25">
        <f t="shared" si="12"/>
        <v>1.5686274509803921E-2</v>
      </c>
    </row>
    <row r="26" spans="1:26">
      <c r="A26" s="1"/>
      <c r="C26" t="s">
        <v>21</v>
      </c>
      <c r="O26">
        <v>7.7999999999999996E-3</v>
      </c>
      <c r="P26">
        <v>4.03</v>
      </c>
      <c r="Q26">
        <v>30.54</v>
      </c>
    </row>
    <row r="28" spans="1:26">
      <c r="B28" s="1" t="s">
        <v>133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6" ht="35.25" customHeight="1">
      <c r="A29" s="1" t="s">
        <v>130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P29" s="1" t="s">
        <v>24</v>
      </c>
      <c r="Q29" s="1" t="s">
        <v>14</v>
      </c>
      <c r="R29" s="1" t="s">
        <v>129</v>
      </c>
      <c r="W29" s="1" t="s">
        <v>30</v>
      </c>
      <c r="X29" s="1"/>
      <c r="Y29" s="1" t="s">
        <v>155</v>
      </c>
      <c r="Z29" s="1"/>
    </row>
    <row r="30" spans="1:26">
      <c r="A30" s="1"/>
      <c r="D30" t="s">
        <v>8</v>
      </c>
      <c r="E30" t="s">
        <v>18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P30" s="1"/>
      <c r="Q30" s="1"/>
      <c r="R30" s="1"/>
      <c r="W30" t="s">
        <v>8</v>
      </c>
      <c r="X30" t="s">
        <v>10</v>
      </c>
      <c r="Y30" t="s">
        <v>8</v>
      </c>
      <c r="Z30" t="s">
        <v>10</v>
      </c>
    </row>
    <row r="31" spans="1:26">
      <c r="A31" s="1"/>
      <c r="B31">
        <v>1</v>
      </c>
      <c r="C31" t="s">
        <v>0</v>
      </c>
      <c r="D31">
        <v>52</v>
      </c>
      <c r="E31">
        <f>D31/52</f>
        <v>1</v>
      </c>
      <c r="F31">
        <v>15</v>
      </c>
      <c r="G31">
        <f>F31/D31</f>
        <v>0.28846153846153844</v>
      </c>
      <c r="H31">
        <v>21</v>
      </c>
      <c r="I31">
        <f>H31/D31</f>
        <v>0.40384615384615385</v>
      </c>
      <c r="J31">
        <v>15</v>
      </c>
      <c r="K31">
        <f>J31/D31</f>
        <v>0.28846153846153844</v>
      </c>
      <c r="L31">
        <v>2</v>
      </c>
      <c r="M31">
        <f>L31/D31</f>
        <v>3.8461538461538464E-2</v>
      </c>
      <c r="P31">
        <f>((F31*5+H31*4+J31*3)+2)/D31</f>
        <v>3.9615384615384617</v>
      </c>
      <c r="Q31">
        <f>1538/D31</f>
        <v>29.576923076923077</v>
      </c>
      <c r="R31">
        <f t="shared" ref="R31:R38" si="19">Q31/39</f>
        <v>0.7583826429980276</v>
      </c>
      <c r="W31">
        <v>4</v>
      </c>
      <c r="X31">
        <f t="shared" ref="X31:X39" si="20">W31/D31</f>
        <v>7.6923076923076927E-2</v>
      </c>
      <c r="Y31">
        <v>1</v>
      </c>
      <c r="Z31">
        <f t="shared" ref="Z31:Z39" si="21">Y31/D31</f>
        <v>1.9230769230769232E-2</v>
      </c>
    </row>
    <row r="32" spans="1:26">
      <c r="A32" s="1"/>
      <c r="B32">
        <v>2</v>
      </c>
      <c r="C32" t="s">
        <v>1</v>
      </c>
      <c r="D32">
        <v>35</v>
      </c>
      <c r="E32">
        <f>D32/35</f>
        <v>1</v>
      </c>
      <c r="F32">
        <v>10</v>
      </c>
      <c r="G32">
        <f t="shared" ref="G32:G38" si="22">F32/D32</f>
        <v>0.2857142857142857</v>
      </c>
      <c r="H32">
        <v>12</v>
      </c>
      <c r="I32">
        <f t="shared" ref="I32:I38" si="23">H32/D32</f>
        <v>0.34285714285714286</v>
      </c>
      <c r="J32">
        <v>13</v>
      </c>
      <c r="K32">
        <f t="shared" ref="K32:K38" si="24">J32/D32</f>
        <v>0.37142857142857144</v>
      </c>
      <c r="L32">
        <v>0</v>
      </c>
      <c r="M32">
        <f t="shared" ref="M32:M39" si="25">L32/D32</f>
        <v>0</v>
      </c>
      <c r="P32">
        <f>(F32*5+H32*4+J32*3+L32*P65)/D32</f>
        <v>3.9142857142857141</v>
      </c>
      <c r="Q32">
        <f>1053/D32</f>
        <v>30.085714285714285</v>
      </c>
      <c r="R32">
        <f t="shared" si="19"/>
        <v>0.77142857142857146</v>
      </c>
      <c r="W32">
        <v>7</v>
      </c>
      <c r="X32">
        <f t="shared" si="20"/>
        <v>0.2</v>
      </c>
      <c r="Y32">
        <v>1</v>
      </c>
      <c r="Z32">
        <f t="shared" si="21"/>
        <v>2.8571428571428571E-2</v>
      </c>
    </row>
    <row r="33" spans="1:26">
      <c r="A33" s="1"/>
      <c r="B33">
        <v>3</v>
      </c>
      <c r="C33" t="s">
        <v>2</v>
      </c>
      <c r="D33">
        <v>97</v>
      </c>
      <c r="E33">
        <f>D33/97</f>
        <v>1</v>
      </c>
      <c r="F33">
        <v>27</v>
      </c>
      <c r="G33">
        <f t="shared" si="22"/>
        <v>0.27835051546391754</v>
      </c>
      <c r="H33">
        <v>46</v>
      </c>
      <c r="I33">
        <f t="shared" si="23"/>
        <v>0.47422680412371132</v>
      </c>
      <c r="J33">
        <v>24</v>
      </c>
      <c r="K33">
        <f t="shared" si="24"/>
        <v>0.24742268041237114</v>
      </c>
      <c r="L33">
        <v>0</v>
      </c>
      <c r="M33">
        <f t="shared" si="25"/>
        <v>0</v>
      </c>
      <c r="P33">
        <f t="shared" ref="P33:P38" si="26">(F33*5+H33*4+J33*3+L33*2)/D33</f>
        <v>4.0309278350515463</v>
      </c>
      <c r="Q33">
        <f>3028/D33</f>
        <v>31.216494845360824</v>
      </c>
      <c r="R33">
        <f t="shared" si="19"/>
        <v>0.80042294475284159</v>
      </c>
      <c r="W33">
        <v>10</v>
      </c>
      <c r="X33">
        <f t="shared" si="20"/>
        <v>0.10309278350515463</v>
      </c>
      <c r="Y33">
        <v>1</v>
      </c>
      <c r="Z33">
        <f t="shared" si="21"/>
        <v>1.0309278350515464E-2</v>
      </c>
    </row>
    <row r="34" spans="1:26">
      <c r="A34" s="1"/>
      <c r="B34">
        <v>4</v>
      </c>
      <c r="C34" t="s">
        <v>3</v>
      </c>
      <c r="D34">
        <v>52</v>
      </c>
      <c r="E34">
        <f>D34/52</f>
        <v>1</v>
      </c>
      <c r="F34">
        <v>17</v>
      </c>
      <c r="G34">
        <f t="shared" si="22"/>
        <v>0.32692307692307693</v>
      </c>
      <c r="H34">
        <v>27</v>
      </c>
      <c r="I34">
        <f t="shared" si="23"/>
        <v>0.51923076923076927</v>
      </c>
      <c r="J34">
        <v>8</v>
      </c>
      <c r="K34">
        <f t="shared" si="24"/>
        <v>0.15384615384615385</v>
      </c>
      <c r="L34">
        <v>0</v>
      </c>
      <c r="M34">
        <f t="shared" si="25"/>
        <v>0</v>
      </c>
      <c r="P34">
        <f t="shared" si="26"/>
        <v>4.1730769230769234</v>
      </c>
      <c r="Q34">
        <f>1633/D34</f>
        <v>31.403846153846153</v>
      </c>
      <c r="R34">
        <f t="shared" si="19"/>
        <v>0.80522682445759364</v>
      </c>
      <c r="W34">
        <v>9</v>
      </c>
      <c r="X34">
        <f t="shared" si="20"/>
        <v>0.17307692307692307</v>
      </c>
      <c r="Y34">
        <v>2</v>
      </c>
      <c r="Z34">
        <f t="shared" si="21"/>
        <v>3.8461538461538464E-2</v>
      </c>
    </row>
    <row r="35" spans="1:26">
      <c r="A35" s="1"/>
      <c r="B35">
        <v>5</v>
      </c>
      <c r="C35" t="s">
        <v>4</v>
      </c>
      <c r="D35">
        <v>2</v>
      </c>
      <c r="E35">
        <f>D35/2</f>
        <v>1</v>
      </c>
      <c r="F35">
        <v>0</v>
      </c>
      <c r="G35">
        <f t="shared" si="22"/>
        <v>0</v>
      </c>
      <c r="H35">
        <v>0</v>
      </c>
      <c r="I35">
        <f t="shared" si="23"/>
        <v>0</v>
      </c>
      <c r="J35">
        <v>2</v>
      </c>
      <c r="K35">
        <f t="shared" si="24"/>
        <v>1</v>
      </c>
      <c r="L35">
        <v>0</v>
      </c>
      <c r="M35">
        <f t="shared" si="25"/>
        <v>0</v>
      </c>
      <c r="P35">
        <f t="shared" si="26"/>
        <v>3</v>
      </c>
      <c r="Q35">
        <f>50/D35</f>
        <v>25</v>
      </c>
      <c r="R35">
        <f t="shared" si="19"/>
        <v>0.64102564102564108</v>
      </c>
      <c r="W35">
        <v>0</v>
      </c>
      <c r="X35">
        <f t="shared" si="20"/>
        <v>0</v>
      </c>
      <c r="Y35">
        <v>0</v>
      </c>
      <c r="Z35">
        <f t="shared" si="21"/>
        <v>0</v>
      </c>
    </row>
    <row r="36" spans="1:26">
      <c r="A36" s="1"/>
      <c r="B36">
        <v>6</v>
      </c>
      <c r="C36" t="s">
        <v>5</v>
      </c>
      <c r="D36">
        <v>11</v>
      </c>
      <c r="E36">
        <f>D36/11</f>
        <v>1</v>
      </c>
      <c r="F36">
        <v>3</v>
      </c>
      <c r="G36">
        <f t="shared" si="22"/>
        <v>0.27272727272727271</v>
      </c>
      <c r="H36">
        <v>6</v>
      </c>
      <c r="I36">
        <f t="shared" si="23"/>
        <v>0.54545454545454541</v>
      </c>
      <c r="J36">
        <v>2</v>
      </c>
      <c r="K36">
        <f t="shared" si="24"/>
        <v>0.18181818181818182</v>
      </c>
      <c r="L36">
        <v>0</v>
      </c>
      <c r="M36">
        <f t="shared" si="25"/>
        <v>0</v>
      </c>
      <c r="P36">
        <f t="shared" si="26"/>
        <v>4.0909090909090908</v>
      </c>
      <c r="Q36">
        <f>343/D36</f>
        <v>31.181818181818183</v>
      </c>
      <c r="R36">
        <f t="shared" si="19"/>
        <v>0.79953379953379955</v>
      </c>
      <c r="W36">
        <v>1</v>
      </c>
      <c r="X36">
        <f t="shared" si="20"/>
        <v>9.0909090909090912E-2</v>
      </c>
      <c r="Y36">
        <v>0</v>
      </c>
      <c r="Z36">
        <f t="shared" si="21"/>
        <v>0</v>
      </c>
    </row>
    <row r="37" spans="1:26">
      <c r="A37" s="1"/>
      <c r="B37">
        <v>7</v>
      </c>
      <c r="C37" t="s">
        <v>16</v>
      </c>
      <c r="D37">
        <v>7</v>
      </c>
      <c r="E37">
        <f>D37/7</f>
        <v>1</v>
      </c>
      <c r="F37">
        <v>2</v>
      </c>
      <c r="G37">
        <f t="shared" si="22"/>
        <v>0.2857142857142857</v>
      </c>
      <c r="H37">
        <v>2</v>
      </c>
      <c r="I37">
        <f t="shared" si="23"/>
        <v>0.2857142857142857</v>
      </c>
      <c r="J37">
        <v>3</v>
      </c>
      <c r="K37">
        <f t="shared" si="24"/>
        <v>0.42857142857142855</v>
      </c>
      <c r="L37">
        <v>0</v>
      </c>
      <c r="M37">
        <f t="shared" si="25"/>
        <v>0</v>
      </c>
      <c r="P37">
        <f t="shared" si="26"/>
        <v>3.8571428571428572</v>
      </c>
      <c r="Q37">
        <f>209/D37</f>
        <v>29.857142857142858</v>
      </c>
      <c r="R37">
        <f t="shared" si="19"/>
        <v>0.76556776556776562</v>
      </c>
      <c r="W37">
        <v>1</v>
      </c>
      <c r="X37">
        <f t="shared" si="20"/>
        <v>0.14285714285714285</v>
      </c>
      <c r="Y37">
        <v>0</v>
      </c>
      <c r="Z37">
        <f t="shared" si="21"/>
        <v>0</v>
      </c>
    </row>
    <row r="38" spans="1:26">
      <c r="A38" s="1"/>
      <c r="B38">
        <v>8</v>
      </c>
      <c r="C38" t="s">
        <v>17</v>
      </c>
      <c r="D38">
        <v>3</v>
      </c>
      <c r="E38">
        <f>D38/3</f>
        <v>1</v>
      </c>
      <c r="F38">
        <v>1</v>
      </c>
      <c r="G38">
        <f t="shared" si="22"/>
        <v>0.33333333333333331</v>
      </c>
      <c r="H38">
        <v>0</v>
      </c>
      <c r="I38">
        <f t="shared" si="23"/>
        <v>0</v>
      </c>
      <c r="J38">
        <v>2</v>
      </c>
      <c r="K38">
        <f t="shared" si="24"/>
        <v>0.66666666666666663</v>
      </c>
      <c r="L38">
        <v>0</v>
      </c>
      <c r="M38">
        <f t="shared" si="25"/>
        <v>0</v>
      </c>
      <c r="P38">
        <f t="shared" si="26"/>
        <v>3.6666666666666665</v>
      </c>
      <c r="Q38">
        <f>89/D38</f>
        <v>29.666666666666668</v>
      </c>
      <c r="R38">
        <f t="shared" si="19"/>
        <v>0.76068376068376076</v>
      </c>
      <c r="W38">
        <v>0</v>
      </c>
      <c r="X38">
        <f t="shared" si="20"/>
        <v>0</v>
      </c>
      <c r="Y38">
        <v>0</v>
      </c>
      <c r="Z38">
        <f t="shared" si="21"/>
        <v>0</v>
      </c>
    </row>
    <row r="39" spans="1:26">
      <c r="A39" s="1"/>
      <c r="C39" t="s">
        <v>6</v>
      </c>
      <c r="D39">
        <f>D31+D32+D33+D34+D35+D36+D37+D38</f>
        <v>259</v>
      </c>
      <c r="E39">
        <f>D39/260</f>
        <v>0.99615384615384617</v>
      </c>
      <c r="F39">
        <f>SUM(F31:F38)</f>
        <v>75</v>
      </c>
      <c r="G39">
        <f>F39/D39</f>
        <v>0.28957528957528955</v>
      </c>
      <c r="H39">
        <f>SUM(H31:H38)</f>
        <v>114</v>
      </c>
      <c r="I39">
        <f>H39/D39</f>
        <v>0.44015444015444016</v>
      </c>
      <c r="J39">
        <f>SUM(J31:J38)</f>
        <v>69</v>
      </c>
      <c r="K39">
        <f>J39/D39</f>
        <v>0.26640926640926643</v>
      </c>
      <c r="L39">
        <f>SUM(L31:L38)</f>
        <v>2</v>
      </c>
      <c r="M39">
        <f t="shared" si="25"/>
        <v>7.7220077220077222E-3</v>
      </c>
      <c r="P39">
        <f>(F39*5+H39*4+J39*3+L39*1)/D39</f>
        <v>4.0154440154440154</v>
      </c>
      <c r="Q39">
        <f>7943/D39</f>
        <v>30.667953667953668</v>
      </c>
      <c r="R39">
        <f>7943/(D39*39)</f>
        <v>0.7863577863577863</v>
      </c>
      <c r="W39">
        <f>SUM(W31:W38)</f>
        <v>32</v>
      </c>
      <c r="X39">
        <f t="shared" si="20"/>
        <v>0.12355212355212356</v>
      </c>
      <c r="Y39">
        <f>SUM(Y31:Y38)</f>
        <v>5</v>
      </c>
      <c r="Z39">
        <f t="shared" si="21"/>
        <v>1.9305019305019305E-2</v>
      </c>
    </row>
    <row r="40" spans="1:26">
      <c r="A40" s="1"/>
      <c r="C40" t="s">
        <v>21</v>
      </c>
    </row>
    <row r="41" spans="1:26">
      <c r="A41" s="1" t="s">
        <v>131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P41" s="1" t="s">
        <v>24</v>
      </c>
      <c r="Q41" s="1" t="s">
        <v>14</v>
      </c>
      <c r="R41" s="1" t="s">
        <v>129</v>
      </c>
      <c r="W41" s="1" t="s">
        <v>30</v>
      </c>
      <c r="X41" s="1"/>
      <c r="Y41" s="1" t="s">
        <v>31</v>
      </c>
      <c r="Z41" s="1"/>
    </row>
    <row r="42" spans="1:26">
      <c r="A42" s="1"/>
      <c r="D42" t="s">
        <v>8</v>
      </c>
      <c r="E42" t="s">
        <v>18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P42" s="1"/>
      <c r="Q42" s="1"/>
      <c r="R42" s="1"/>
      <c r="W42" t="s">
        <v>8</v>
      </c>
      <c r="X42" t="s">
        <v>10</v>
      </c>
      <c r="Y42" t="s">
        <v>8</v>
      </c>
      <c r="Z42" t="s">
        <v>10</v>
      </c>
    </row>
    <row r="43" spans="1:26">
      <c r="A43" s="1"/>
      <c r="B43">
        <v>1</v>
      </c>
      <c r="C43" t="s">
        <v>0</v>
      </c>
      <c r="D43">
        <v>53</v>
      </c>
      <c r="E43">
        <f>D43/53</f>
        <v>1</v>
      </c>
      <c r="F43">
        <v>17</v>
      </c>
      <c r="G43">
        <f>F43/D43</f>
        <v>0.32075471698113206</v>
      </c>
      <c r="H43">
        <v>29</v>
      </c>
      <c r="I43">
        <f>H43/D43</f>
        <v>0.54716981132075471</v>
      </c>
      <c r="J43">
        <v>7</v>
      </c>
      <c r="K43">
        <f>J43/D43</f>
        <v>0.13207547169811321</v>
      </c>
      <c r="L43">
        <v>0</v>
      </c>
      <c r="M43">
        <f>L43/D43</f>
        <v>0</v>
      </c>
      <c r="P43">
        <f t="shared" ref="P43:P51" si="27">(F43*5+H43*4+J43*3+L43*2)/D43</f>
        <v>4.1886792452830193</v>
      </c>
      <c r="Q43">
        <f>1649/D43</f>
        <v>31.113207547169811</v>
      </c>
      <c r="R43">
        <f t="shared" ref="R43:R50" si="28">Q43/39</f>
        <v>0.79777455249153362</v>
      </c>
      <c r="W43">
        <v>8</v>
      </c>
      <c r="X43">
        <f t="shared" ref="X43:X51" si="29">W43/D43</f>
        <v>0.15094339622641509</v>
      </c>
      <c r="Y43">
        <v>3</v>
      </c>
      <c r="Z43">
        <f t="shared" ref="Z43:Z51" si="30">Y43/D43</f>
        <v>5.6603773584905662E-2</v>
      </c>
    </row>
    <row r="44" spans="1:26">
      <c r="A44" s="1"/>
      <c r="B44">
        <v>2</v>
      </c>
      <c r="C44" t="s">
        <v>1</v>
      </c>
      <c r="D44">
        <v>45</v>
      </c>
      <c r="E44">
        <f>D44/45</f>
        <v>1</v>
      </c>
      <c r="F44">
        <v>8</v>
      </c>
      <c r="G44">
        <f t="shared" ref="G44:G50" si="31">F44/D44</f>
        <v>0.17777777777777778</v>
      </c>
      <c r="H44">
        <v>25</v>
      </c>
      <c r="I44">
        <f t="shared" ref="I44:I50" si="32">H44/D44</f>
        <v>0.55555555555555558</v>
      </c>
      <c r="J44">
        <v>12</v>
      </c>
      <c r="K44">
        <f t="shared" ref="K44:K50" si="33">J44/D44</f>
        <v>0.26666666666666666</v>
      </c>
      <c r="L44">
        <v>2</v>
      </c>
      <c r="M44">
        <f t="shared" ref="M44:M51" si="34">L44/D44</f>
        <v>4.4444444444444446E-2</v>
      </c>
      <c r="P44">
        <f>(F44*5+H44*4+J44*3)/D44</f>
        <v>3.911111111111111</v>
      </c>
      <c r="Q44">
        <f>1315/D44</f>
        <v>29.222222222222221</v>
      </c>
      <c r="R44">
        <f t="shared" si="28"/>
        <v>0.74928774928774922</v>
      </c>
      <c r="W44">
        <v>3</v>
      </c>
      <c r="X44">
        <f t="shared" si="29"/>
        <v>6.6666666666666666E-2</v>
      </c>
      <c r="Y44">
        <v>2</v>
      </c>
      <c r="Z44">
        <f t="shared" si="30"/>
        <v>4.4444444444444446E-2</v>
      </c>
    </row>
    <row r="45" spans="1:26">
      <c r="A45" s="1"/>
      <c r="B45">
        <v>3</v>
      </c>
      <c r="C45" t="s">
        <v>2</v>
      </c>
      <c r="D45">
        <v>103</v>
      </c>
      <c r="E45">
        <f>D45/103</f>
        <v>1</v>
      </c>
      <c r="F45">
        <v>26</v>
      </c>
      <c r="G45">
        <f t="shared" si="31"/>
        <v>0.25242718446601942</v>
      </c>
      <c r="H45">
        <v>49</v>
      </c>
      <c r="I45">
        <f t="shared" si="32"/>
        <v>0.47572815533980584</v>
      </c>
      <c r="J45">
        <v>28</v>
      </c>
      <c r="K45">
        <f t="shared" si="33"/>
        <v>0.27184466019417475</v>
      </c>
      <c r="L45">
        <v>0</v>
      </c>
      <c r="M45">
        <f t="shared" si="34"/>
        <v>0</v>
      </c>
      <c r="P45">
        <f t="shared" si="27"/>
        <v>3.9805825242718447</v>
      </c>
      <c r="Q45">
        <f>3006/D45</f>
        <v>29.184466019417474</v>
      </c>
      <c r="R45">
        <f t="shared" si="28"/>
        <v>0.74831964152352504</v>
      </c>
      <c r="W45">
        <v>9</v>
      </c>
      <c r="X45">
        <f t="shared" si="29"/>
        <v>8.7378640776699032E-2</v>
      </c>
      <c r="Y45">
        <v>1</v>
      </c>
      <c r="Z45">
        <f t="shared" si="30"/>
        <v>9.7087378640776691E-3</v>
      </c>
    </row>
    <row r="46" spans="1:26">
      <c r="A46" s="1"/>
      <c r="B46">
        <v>4</v>
      </c>
      <c r="C46" t="s">
        <v>3</v>
      </c>
      <c r="D46">
        <v>42</v>
      </c>
      <c r="E46">
        <f>D46/42</f>
        <v>1</v>
      </c>
      <c r="F46">
        <v>8</v>
      </c>
      <c r="G46">
        <f t="shared" si="31"/>
        <v>0.19047619047619047</v>
      </c>
      <c r="H46">
        <v>10</v>
      </c>
      <c r="I46">
        <f t="shared" si="32"/>
        <v>0.23809523809523808</v>
      </c>
      <c r="J46">
        <v>23</v>
      </c>
      <c r="K46">
        <f t="shared" si="33"/>
        <v>0.54761904761904767</v>
      </c>
      <c r="L46">
        <v>1</v>
      </c>
      <c r="M46">
        <f t="shared" si="34"/>
        <v>2.3809523809523808E-2</v>
      </c>
      <c r="P46">
        <f t="shared" si="27"/>
        <v>3.5952380952380953</v>
      </c>
      <c r="Q46">
        <f>1104/D46</f>
        <v>26.285714285714285</v>
      </c>
      <c r="R46">
        <f t="shared" si="28"/>
        <v>0.67399267399267393</v>
      </c>
      <c r="W46">
        <v>3</v>
      </c>
      <c r="X46">
        <f t="shared" si="29"/>
        <v>7.1428571428571425E-2</v>
      </c>
      <c r="Y46">
        <v>0</v>
      </c>
      <c r="Z46">
        <f t="shared" si="30"/>
        <v>0</v>
      </c>
    </row>
    <row r="47" spans="1:26">
      <c r="A47" s="1"/>
      <c r="B47">
        <v>5</v>
      </c>
      <c r="C47" t="s">
        <v>4</v>
      </c>
      <c r="D47">
        <v>5</v>
      </c>
      <c r="E47">
        <f>D47/5</f>
        <v>1</v>
      </c>
      <c r="F47">
        <v>1</v>
      </c>
      <c r="G47">
        <f t="shared" si="31"/>
        <v>0.2</v>
      </c>
      <c r="H47">
        <v>3</v>
      </c>
      <c r="I47">
        <f t="shared" si="32"/>
        <v>0.6</v>
      </c>
      <c r="J47">
        <v>1</v>
      </c>
      <c r="K47">
        <f t="shared" si="33"/>
        <v>0.2</v>
      </c>
      <c r="L47">
        <v>0</v>
      </c>
      <c r="M47">
        <f t="shared" si="34"/>
        <v>0</v>
      </c>
      <c r="P47">
        <f t="shared" si="27"/>
        <v>4</v>
      </c>
      <c r="Q47">
        <f>151/D47</f>
        <v>30.2</v>
      </c>
      <c r="R47">
        <f t="shared" si="28"/>
        <v>0.77435897435897438</v>
      </c>
      <c r="W47">
        <v>0</v>
      </c>
      <c r="X47">
        <f t="shared" si="29"/>
        <v>0</v>
      </c>
      <c r="Y47">
        <v>0</v>
      </c>
      <c r="Z47">
        <f t="shared" si="30"/>
        <v>0</v>
      </c>
    </row>
    <row r="48" spans="1:26">
      <c r="A48" s="1"/>
      <c r="B48">
        <v>6</v>
      </c>
      <c r="C48" t="s">
        <v>5</v>
      </c>
      <c r="D48">
        <v>8</v>
      </c>
      <c r="E48">
        <f>D48/8</f>
        <v>1</v>
      </c>
      <c r="F48">
        <v>0</v>
      </c>
      <c r="G48">
        <f t="shared" si="31"/>
        <v>0</v>
      </c>
      <c r="H48">
        <v>1</v>
      </c>
      <c r="I48">
        <f t="shared" si="32"/>
        <v>0.125</v>
      </c>
      <c r="J48">
        <v>7</v>
      </c>
      <c r="K48">
        <f t="shared" si="33"/>
        <v>0.875</v>
      </c>
      <c r="L48">
        <v>0</v>
      </c>
      <c r="M48">
        <f t="shared" si="34"/>
        <v>0</v>
      </c>
      <c r="P48">
        <f t="shared" si="27"/>
        <v>3.125</v>
      </c>
      <c r="Q48">
        <f>193/D48</f>
        <v>24.125</v>
      </c>
      <c r="R48">
        <f t="shared" si="28"/>
        <v>0.61858974358974361</v>
      </c>
      <c r="W48">
        <v>0</v>
      </c>
      <c r="X48">
        <f t="shared" si="29"/>
        <v>0</v>
      </c>
      <c r="Y48">
        <v>0</v>
      </c>
      <c r="Z48">
        <f t="shared" si="30"/>
        <v>0</v>
      </c>
    </row>
    <row r="49" spans="1:26">
      <c r="A49" s="1"/>
      <c r="B49">
        <v>7</v>
      </c>
      <c r="C49" t="s">
        <v>16</v>
      </c>
      <c r="D49">
        <v>2</v>
      </c>
      <c r="E49">
        <f>D49/2</f>
        <v>1</v>
      </c>
      <c r="F49">
        <v>0</v>
      </c>
      <c r="G49">
        <f t="shared" si="31"/>
        <v>0</v>
      </c>
      <c r="H49">
        <v>2</v>
      </c>
      <c r="I49">
        <f t="shared" si="32"/>
        <v>1</v>
      </c>
      <c r="J49">
        <v>0</v>
      </c>
      <c r="K49">
        <f t="shared" si="33"/>
        <v>0</v>
      </c>
      <c r="L49">
        <v>0</v>
      </c>
      <c r="M49">
        <f t="shared" si="34"/>
        <v>0</v>
      </c>
      <c r="P49">
        <f t="shared" si="27"/>
        <v>4</v>
      </c>
      <c r="Q49">
        <f>64/D49</f>
        <v>32</v>
      </c>
      <c r="R49">
        <f t="shared" si="28"/>
        <v>0.82051282051282048</v>
      </c>
      <c r="W49">
        <v>0</v>
      </c>
      <c r="X49">
        <f t="shared" si="29"/>
        <v>0</v>
      </c>
      <c r="Y49">
        <v>0</v>
      </c>
      <c r="Z49">
        <f t="shared" si="30"/>
        <v>0</v>
      </c>
    </row>
    <row r="50" spans="1:26">
      <c r="A50" s="1"/>
      <c r="B50">
        <v>8</v>
      </c>
      <c r="C50" t="s">
        <v>17</v>
      </c>
      <c r="D50">
        <v>4</v>
      </c>
      <c r="E50">
        <f>D50/4</f>
        <v>1</v>
      </c>
      <c r="F50">
        <v>0</v>
      </c>
      <c r="G50">
        <f t="shared" si="31"/>
        <v>0</v>
      </c>
      <c r="H50">
        <v>2</v>
      </c>
      <c r="I50">
        <f t="shared" si="32"/>
        <v>0.5</v>
      </c>
      <c r="J50">
        <v>2</v>
      </c>
      <c r="K50">
        <f t="shared" si="33"/>
        <v>0.5</v>
      </c>
      <c r="L50">
        <v>0</v>
      </c>
      <c r="M50">
        <f t="shared" si="34"/>
        <v>0</v>
      </c>
      <c r="P50">
        <f t="shared" si="27"/>
        <v>3.5</v>
      </c>
      <c r="Q50">
        <f>111/D50</f>
        <v>27.75</v>
      </c>
      <c r="R50">
        <f t="shared" si="28"/>
        <v>0.71153846153846156</v>
      </c>
      <c r="W50">
        <v>0</v>
      </c>
      <c r="X50">
        <f t="shared" si="29"/>
        <v>0</v>
      </c>
      <c r="Y50">
        <v>0</v>
      </c>
      <c r="Z50">
        <f t="shared" si="30"/>
        <v>0</v>
      </c>
    </row>
    <row r="51" spans="1:26">
      <c r="A51" s="1"/>
      <c r="C51" t="s">
        <v>6</v>
      </c>
      <c r="D51">
        <f>SUM(D43:D50)</f>
        <v>262</v>
      </c>
      <c r="E51">
        <f>D51/262</f>
        <v>1</v>
      </c>
      <c r="F51">
        <f>SUM(F43:F50)</f>
        <v>60</v>
      </c>
      <c r="G51">
        <f>F51/D51</f>
        <v>0.22900763358778625</v>
      </c>
      <c r="H51">
        <f>SUM(H43:H50)</f>
        <v>121</v>
      </c>
      <c r="I51">
        <f>H51/D51</f>
        <v>0.46183206106870228</v>
      </c>
      <c r="J51">
        <f>SUM(J43:J50)</f>
        <v>80</v>
      </c>
      <c r="K51">
        <f>J51/D51</f>
        <v>0.30534351145038169</v>
      </c>
      <c r="L51">
        <f>SUM(L43:L50)</f>
        <v>3</v>
      </c>
      <c r="M51">
        <f t="shared" si="34"/>
        <v>1.1450381679389313E-2</v>
      </c>
      <c r="P51">
        <f t="shared" si="27"/>
        <v>3.9312977099236641</v>
      </c>
      <c r="Q51">
        <f>7565/D51</f>
        <v>28.874045801526716</v>
      </c>
      <c r="R51">
        <f>7565/(D51*39)</f>
        <v>0.74036014875709533</v>
      </c>
      <c r="W51">
        <f>SUM(W43:W50)</f>
        <v>23</v>
      </c>
      <c r="X51">
        <f t="shared" si="29"/>
        <v>8.7786259541984726E-2</v>
      </c>
      <c r="Y51">
        <f>SUM(Y43:Y50)</f>
        <v>6</v>
      </c>
      <c r="Z51">
        <f t="shared" si="30"/>
        <v>2.2900763358778626E-2</v>
      </c>
    </row>
    <row r="52" spans="1:26">
      <c r="A52" s="1"/>
      <c r="C52" t="s">
        <v>21</v>
      </c>
    </row>
    <row r="55" spans="1:26" ht="15.75" thickBot="1">
      <c r="A55" s="1" t="s">
        <v>157</v>
      </c>
      <c r="B55" s="1"/>
      <c r="C55" s="1"/>
      <c r="D55" s="1"/>
      <c r="E55" s="1"/>
      <c r="F55" s="1"/>
      <c r="G55" s="1"/>
      <c r="H55" s="1"/>
      <c r="I55" s="1"/>
      <c r="J55" s="1"/>
    </row>
    <row r="56" spans="1:26" ht="15.75" thickBot="1">
      <c r="A56" t="s">
        <v>49</v>
      </c>
      <c r="B56" t="s">
        <v>50</v>
      </c>
      <c r="C56" t="s">
        <v>77</v>
      </c>
      <c r="D56" t="s">
        <v>1</v>
      </c>
      <c r="E56" t="s">
        <v>2</v>
      </c>
      <c r="F56" t="s">
        <v>3</v>
      </c>
      <c r="G56" t="s">
        <v>154</v>
      </c>
      <c r="H56" t="s">
        <v>22</v>
      </c>
      <c r="I56" t="s">
        <v>78</v>
      </c>
      <c r="J56" t="s">
        <v>79</v>
      </c>
    </row>
    <row r="57" spans="1:26" ht="15.75" thickBot="1">
      <c r="A57" t="s">
        <v>51</v>
      </c>
      <c r="B57" t="s">
        <v>52</v>
      </c>
    </row>
    <row r="58" spans="1:26" ht="15.75" thickBot="1">
      <c r="A58" t="s">
        <v>53</v>
      </c>
      <c r="B58" t="s">
        <v>54</v>
      </c>
    </row>
    <row r="59" spans="1:26" ht="15.75" thickBot="1">
      <c r="A59" t="s">
        <v>55</v>
      </c>
      <c r="B59" t="s">
        <v>56</v>
      </c>
    </row>
    <row r="60" spans="1:26" ht="15.75" thickBot="1">
      <c r="A60" t="s">
        <v>57</v>
      </c>
      <c r="B60" t="s">
        <v>58</v>
      </c>
    </row>
    <row r="61" spans="1:26" ht="15.75" thickBot="1">
      <c r="A61" t="s">
        <v>59</v>
      </c>
      <c r="B61" t="s">
        <v>60</v>
      </c>
    </row>
    <row r="62" spans="1:26" ht="15.75" thickBot="1">
      <c r="A62" t="s">
        <v>61</v>
      </c>
      <c r="B62" t="s">
        <v>62</v>
      </c>
    </row>
    <row r="63" spans="1:26" ht="15.75" thickBot="1">
      <c r="A63" t="s">
        <v>63</v>
      </c>
      <c r="B63" t="s">
        <v>64</v>
      </c>
    </row>
    <row r="64" spans="1:26" ht="15.75" thickBot="1">
      <c r="A64" t="s">
        <v>65</v>
      </c>
      <c r="B64" t="s">
        <v>66</v>
      </c>
    </row>
    <row r="65" spans="1:2" ht="15.75" thickBot="1">
      <c r="A65" t="s">
        <v>67</v>
      </c>
      <c r="B65" t="s">
        <v>68</v>
      </c>
    </row>
    <row r="66" spans="1:2" ht="15.75" thickBot="1">
      <c r="A66" t="s">
        <v>69</v>
      </c>
      <c r="B66" t="s">
        <v>70</v>
      </c>
    </row>
    <row r="67" spans="1:2" ht="15.75" thickBot="1">
      <c r="A67" t="s">
        <v>71</v>
      </c>
      <c r="B67" t="s">
        <v>72</v>
      </c>
    </row>
    <row r="68" spans="1:2" ht="15.75" thickBot="1">
      <c r="A68" t="s">
        <v>73</v>
      </c>
      <c r="B68" t="s">
        <v>74</v>
      </c>
    </row>
    <row r="69" spans="1:2" ht="15.75" thickBot="1">
      <c r="A69" t="s">
        <v>75</v>
      </c>
      <c r="B69" t="s">
        <v>76</v>
      </c>
    </row>
  </sheetData>
  <mergeCells count="52">
    <mergeCell ref="S2:T2"/>
    <mergeCell ref="U2:V2"/>
    <mergeCell ref="R2:R3"/>
    <mergeCell ref="W2:X2"/>
    <mergeCell ref="Y2:Z2"/>
    <mergeCell ref="B1:R1"/>
    <mergeCell ref="N2:O2"/>
    <mergeCell ref="P2:P3"/>
    <mergeCell ref="Q2:Q3"/>
    <mergeCell ref="A2:A13"/>
    <mergeCell ref="D2:E2"/>
    <mergeCell ref="F2:G2"/>
    <mergeCell ref="H2:I2"/>
    <mergeCell ref="J2:K2"/>
    <mergeCell ref="L2:M2"/>
    <mergeCell ref="W15:X15"/>
    <mergeCell ref="Y15:Z15"/>
    <mergeCell ref="B14:R14"/>
    <mergeCell ref="P15:P16"/>
    <mergeCell ref="Q15:Q16"/>
    <mergeCell ref="R15:R16"/>
    <mergeCell ref="N15:O15"/>
    <mergeCell ref="L15:M15"/>
    <mergeCell ref="A15:A26"/>
    <mergeCell ref="D15:E15"/>
    <mergeCell ref="F15:G15"/>
    <mergeCell ref="H15:I15"/>
    <mergeCell ref="J15:K15"/>
    <mergeCell ref="B28:R28"/>
    <mergeCell ref="F41:G41"/>
    <mergeCell ref="H41:I41"/>
    <mergeCell ref="J41:K41"/>
    <mergeCell ref="L41:M41"/>
    <mergeCell ref="P41:P42"/>
    <mergeCell ref="D29:E29"/>
    <mergeCell ref="A55:J55"/>
    <mergeCell ref="W41:X41"/>
    <mergeCell ref="W29:X29"/>
    <mergeCell ref="F29:G29"/>
    <mergeCell ref="D41:E41"/>
    <mergeCell ref="H29:I29"/>
    <mergeCell ref="J29:K29"/>
    <mergeCell ref="Y29:Z29"/>
    <mergeCell ref="A29:A40"/>
    <mergeCell ref="A41:A52"/>
    <mergeCell ref="Q41:Q42"/>
    <mergeCell ref="R41:R42"/>
    <mergeCell ref="Y41:Z41"/>
    <mergeCell ref="Q29:Q30"/>
    <mergeCell ref="R29:R30"/>
    <mergeCell ref="L29:M29"/>
    <mergeCell ref="P29:P30"/>
  </mergeCells>
  <pageMargins left="0.7" right="0.7" top="0.75" bottom="0.75" header="0.3" footer="0.3"/>
  <pageSetup paperSize="9" scale="63" orientation="landscape" r:id="rId1"/>
  <rowBreaks count="2" manualBreakCount="2">
    <brk id="39" max="21" man="1"/>
    <brk id="52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2"/>
  <sheetViews>
    <sheetView view="pageBreakPreview" zoomScale="6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4" sqref="C4:C9"/>
    </sheetView>
  </sheetViews>
  <sheetFormatPr defaultRowHeight="15"/>
  <cols>
    <col min="2" max="2" width="6.42578125" customWidth="1"/>
    <col min="3" max="3" width="15.28515625" customWidth="1"/>
    <col min="4" max="9" width="9.28515625" bestFit="1" customWidth="1"/>
    <col min="11" max="11" width="9.28515625" bestFit="1" customWidth="1"/>
    <col min="13" max="13" width="9.28515625" bestFit="1" customWidth="1"/>
    <col min="14" max="16" width="11.5703125" bestFit="1" customWidth="1"/>
    <col min="17" max="17" width="7.5703125" customWidth="1"/>
    <col min="18" max="18" width="6.85546875" customWidth="1"/>
    <col min="19" max="19" width="6.5703125" customWidth="1"/>
    <col min="20" max="20" width="6.85546875" customWidth="1"/>
  </cols>
  <sheetData>
    <row r="1" spans="1:20">
      <c r="B1" s="1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>
      <c r="A2" s="1" t="s">
        <v>184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24</v>
      </c>
      <c r="O2" s="1" t="s">
        <v>14</v>
      </c>
      <c r="P2" s="1" t="s">
        <v>200</v>
      </c>
      <c r="Q2" s="1" t="s">
        <v>218</v>
      </c>
      <c r="R2" s="1"/>
      <c r="S2" s="1" t="s">
        <v>201</v>
      </c>
      <c r="T2" s="1"/>
    </row>
    <row r="3" spans="1:20" ht="124.5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s="1"/>
      <c r="O3" s="1"/>
      <c r="P3" s="1"/>
      <c r="Q3" t="s">
        <v>8</v>
      </c>
      <c r="R3" t="s">
        <v>10</v>
      </c>
      <c r="S3" t="s">
        <v>8</v>
      </c>
      <c r="T3" t="s">
        <v>10</v>
      </c>
    </row>
    <row r="4" spans="1:20" ht="16.5" customHeight="1">
      <c r="A4" s="1"/>
      <c r="B4">
        <v>1</v>
      </c>
      <c r="C4" t="s">
        <v>0</v>
      </c>
      <c r="D4">
        <v>19</v>
      </c>
      <c r="E4">
        <f>D4/56</f>
        <v>0.3392857142857143</v>
      </c>
      <c r="F4">
        <v>7</v>
      </c>
      <c r="G4">
        <f>F4/D4</f>
        <v>0.36842105263157893</v>
      </c>
      <c r="H4">
        <v>5</v>
      </c>
      <c r="I4">
        <f>H4/D4</f>
        <v>0.26315789473684209</v>
      </c>
      <c r="J4">
        <v>7</v>
      </c>
      <c r="K4">
        <f>J4/D4</f>
        <v>0.36842105263157893</v>
      </c>
      <c r="L4">
        <v>0</v>
      </c>
      <c r="M4">
        <f>L4/D4</f>
        <v>0</v>
      </c>
      <c r="N4">
        <f>(F4*5+H4*4+J4*3+L4*2)/D4</f>
        <v>4</v>
      </c>
      <c r="O4">
        <f>258/D4</f>
        <v>13.578947368421053</v>
      </c>
      <c r="P4">
        <f>O4/19</f>
        <v>0.71468144044321336</v>
      </c>
      <c r="Q4">
        <v>7</v>
      </c>
      <c r="R4">
        <f>Q4/D4</f>
        <v>0.36842105263157893</v>
      </c>
      <c r="S4">
        <v>5</v>
      </c>
      <c r="T4">
        <f>S4/D4</f>
        <v>0.26315789473684209</v>
      </c>
    </row>
    <row r="5" spans="1:20">
      <c r="A5" s="1"/>
      <c r="B5">
        <v>2</v>
      </c>
      <c r="C5" t="s">
        <v>1</v>
      </c>
      <c r="D5">
        <v>3</v>
      </c>
      <c r="E5">
        <f>D5/46</f>
        <v>6.5217391304347824E-2</v>
      </c>
      <c r="F5">
        <v>3</v>
      </c>
      <c r="G5">
        <f>F5/D5</f>
        <v>1</v>
      </c>
      <c r="H5">
        <v>0</v>
      </c>
      <c r="I5">
        <f>H5/D5</f>
        <v>0</v>
      </c>
      <c r="J5">
        <v>0</v>
      </c>
      <c r="K5">
        <f t="shared" ref="K5:K12" si="0">J5/D5</f>
        <v>0</v>
      </c>
      <c r="L5">
        <v>0</v>
      </c>
      <c r="M5">
        <f t="shared" ref="M5:M12" si="1">L5/D5</f>
        <v>0</v>
      </c>
      <c r="N5">
        <v>5</v>
      </c>
      <c r="O5">
        <f>49/D5</f>
        <v>16.333333333333332</v>
      </c>
      <c r="P5">
        <v>0.85</v>
      </c>
      <c r="Q5">
        <v>0</v>
      </c>
      <c r="R5">
        <f t="shared" ref="R5:R12" si="2">Q5/D5</f>
        <v>0</v>
      </c>
      <c r="S5">
        <v>0</v>
      </c>
      <c r="T5">
        <f t="shared" ref="T5:T12" si="3">S5/D5</f>
        <v>0</v>
      </c>
    </row>
    <row r="6" spans="1:20">
      <c r="A6" s="1"/>
      <c r="B6">
        <v>3</v>
      </c>
      <c r="C6" t="s">
        <v>2</v>
      </c>
      <c r="D6">
        <v>14</v>
      </c>
      <c r="E6">
        <f>D6/86</f>
        <v>0.16279069767441862</v>
      </c>
      <c r="F6">
        <v>3</v>
      </c>
      <c r="G6">
        <f>F6/D6</f>
        <v>0.21428571428571427</v>
      </c>
      <c r="H6">
        <v>7</v>
      </c>
      <c r="I6">
        <f>H6/D6</f>
        <v>0.5</v>
      </c>
      <c r="J6">
        <v>4</v>
      </c>
      <c r="K6">
        <f t="shared" si="0"/>
        <v>0.2857142857142857</v>
      </c>
      <c r="L6">
        <v>0</v>
      </c>
      <c r="M6">
        <f t="shared" si="1"/>
        <v>0</v>
      </c>
      <c r="N6">
        <v>3.92</v>
      </c>
      <c r="O6">
        <f>176/D6</f>
        <v>12.571428571428571</v>
      </c>
      <c r="P6">
        <f>O6/19</f>
        <v>0.66165413533834583</v>
      </c>
      <c r="Q6">
        <v>3</v>
      </c>
      <c r="R6">
        <f t="shared" si="2"/>
        <v>0.21428571428571427</v>
      </c>
      <c r="S6">
        <v>1</v>
      </c>
      <c r="T6">
        <f t="shared" si="3"/>
        <v>7.1428571428571425E-2</v>
      </c>
    </row>
    <row r="7" spans="1:20">
      <c r="A7" s="1"/>
      <c r="B7">
        <v>4</v>
      </c>
      <c r="C7" t="s">
        <v>3</v>
      </c>
      <c r="D7">
        <v>15</v>
      </c>
      <c r="E7">
        <f>D7/69</f>
        <v>0.21739130434782608</v>
      </c>
      <c r="F7">
        <v>3</v>
      </c>
      <c r="G7">
        <f t="shared" ref="G7:G12" si="4">F7/D7</f>
        <v>0.2</v>
      </c>
      <c r="H7">
        <v>5</v>
      </c>
      <c r="I7">
        <f t="shared" ref="I7:I12" si="5">H7/D7</f>
        <v>0.33333333333333331</v>
      </c>
      <c r="J7">
        <v>7</v>
      </c>
      <c r="K7">
        <f t="shared" si="0"/>
        <v>0.46666666666666667</v>
      </c>
      <c r="L7">
        <v>0</v>
      </c>
      <c r="M7">
        <f t="shared" si="1"/>
        <v>0</v>
      </c>
      <c r="N7">
        <v>3.73</v>
      </c>
      <c r="O7">
        <f>171/D7</f>
        <v>11.4</v>
      </c>
      <c r="P7">
        <f>O7/19</f>
        <v>0.6</v>
      </c>
      <c r="Q7">
        <v>1</v>
      </c>
      <c r="R7">
        <f t="shared" si="2"/>
        <v>6.6666666666666666E-2</v>
      </c>
      <c r="S7">
        <v>0</v>
      </c>
      <c r="T7">
        <f t="shared" si="3"/>
        <v>0</v>
      </c>
    </row>
    <row r="8" spans="1:20">
      <c r="A8" s="1"/>
      <c r="B8">
        <v>5</v>
      </c>
      <c r="C8" t="s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>O8/22</f>
        <v>0</v>
      </c>
      <c r="Q8">
        <v>0</v>
      </c>
      <c r="R8">
        <v>0</v>
      </c>
      <c r="S8">
        <v>0</v>
      </c>
      <c r="T8">
        <v>0</v>
      </c>
    </row>
    <row r="9" spans="1:20">
      <c r="A9" s="1"/>
      <c r="B9">
        <v>6</v>
      </c>
      <c r="C9" t="s">
        <v>5</v>
      </c>
      <c r="D9">
        <v>2</v>
      </c>
      <c r="E9">
        <f>D9/13</f>
        <v>0.15384615384615385</v>
      </c>
      <c r="F9">
        <v>0</v>
      </c>
      <c r="G9">
        <f t="shared" si="4"/>
        <v>0</v>
      </c>
      <c r="H9">
        <v>0</v>
      </c>
      <c r="I9">
        <f t="shared" si="5"/>
        <v>0</v>
      </c>
      <c r="J9">
        <v>1</v>
      </c>
      <c r="K9">
        <f t="shared" si="0"/>
        <v>0.5</v>
      </c>
      <c r="L9">
        <v>1</v>
      </c>
      <c r="M9">
        <f t="shared" si="1"/>
        <v>0.5</v>
      </c>
      <c r="N9">
        <f>(F9*5+H9*4+J9*3+L9*2)/D9</f>
        <v>2.5</v>
      </c>
      <c r="O9">
        <f>9/D9</f>
        <v>4.5</v>
      </c>
      <c r="P9">
        <v>0.23</v>
      </c>
      <c r="Q9">
        <v>0</v>
      </c>
      <c r="R9">
        <f t="shared" si="2"/>
        <v>0</v>
      </c>
      <c r="S9">
        <v>0</v>
      </c>
      <c r="T9">
        <f t="shared" si="3"/>
        <v>0</v>
      </c>
    </row>
    <row r="10" spans="1:20">
      <c r="A10" s="1"/>
      <c r="B10">
        <v>7</v>
      </c>
      <c r="C10" t="s">
        <v>16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s="1"/>
      <c r="B11">
        <v>8</v>
      </c>
      <c r="C11" t="s">
        <v>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>O11/22</f>
        <v>0</v>
      </c>
      <c r="Q11">
        <v>0</v>
      </c>
      <c r="R11">
        <v>0</v>
      </c>
      <c r="S11">
        <v>0</v>
      </c>
      <c r="T11">
        <v>0</v>
      </c>
    </row>
    <row r="12" spans="1:20">
      <c r="A12" s="1"/>
      <c r="C12" t="s">
        <v>6</v>
      </c>
      <c r="D12">
        <f>SUM(D4:D11)</f>
        <v>53</v>
      </c>
      <c r="E12">
        <f>D12/257</f>
        <v>0.20622568093385213</v>
      </c>
      <c r="F12">
        <f>SUM(F4:F11)</f>
        <v>16</v>
      </c>
      <c r="G12">
        <f t="shared" si="4"/>
        <v>0.30188679245283018</v>
      </c>
      <c r="H12">
        <f>SUM(H4:H11)</f>
        <v>17</v>
      </c>
      <c r="I12">
        <f t="shared" si="5"/>
        <v>0.32075471698113206</v>
      </c>
      <c r="J12">
        <f>SUM(J4:J11)</f>
        <v>19</v>
      </c>
      <c r="K12">
        <f t="shared" si="0"/>
        <v>0.35849056603773582</v>
      </c>
      <c r="L12">
        <f>SUM(L4:L11)</f>
        <v>1</v>
      </c>
      <c r="M12">
        <f t="shared" si="1"/>
        <v>1.8867924528301886E-2</v>
      </c>
      <c r="N12">
        <v>3.9</v>
      </c>
      <c r="O12">
        <v>12.5</v>
      </c>
      <c r="P12">
        <v>0.65</v>
      </c>
      <c r="Q12">
        <f>SUM(Q4:Q11)</f>
        <v>11</v>
      </c>
      <c r="R12">
        <f t="shared" si="2"/>
        <v>0.20754716981132076</v>
      </c>
      <c r="S12">
        <f>SUM(S4:S11)</f>
        <v>6</v>
      </c>
      <c r="T12">
        <f t="shared" si="3"/>
        <v>0.11320754716981132</v>
      </c>
    </row>
    <row r="13" spans="1:20">
      <c r="A13" s="1"/>
      <c r="C13" t="s">
        <v>21</v>
      </c>
    </row>
    <row r="14" spans="1:20">
      <c r="B14" s="1" t="s">
        <v>165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0">
      <c r="A15" s="1" t="s">
        <v>160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24</v>
      </c>
      <c r="O15" s="1" t="s">
        <v>14</v>
      </c>
      <c r="P15" s="1" t="s">
        <v>38</v>
      </c>
      <c r="Q15" s="1" t="s">
        <v>37</v>
      </c>
      <c r="R15" s="1"/>
      <c r="S15" s="1" t="s">
        <v>42</v>
      </c>
      <c r="T15" s="1"/>
    </row>
    <row r="16" spans="1:20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s="1"/>
      <c r="O16" s="1"/>
      <c r="P16" s="1"/>
      <c r="Q16" t="s">
        <v>8</v>
      </c>
      <c r="R16" t="s">
        <v>10</v>
      </c>
      <c r="S16" t="s">
        <v>8</v>
      </c>
      <c r="T16" t="s">
        <v>10</v>
      </c>
    </row>
    <row r="17" spans="1:20">
      <c r="A17" s="1"/>
      <c r="B17">
        <v>1</v>
      </c>
      <c r="C17" t="s">
        <v>0</v>
      </c>
      <c r="D17">
        <v>11</v>
      </c>
      <c r="E17">
        <f>D17/43</f>
        <v>0.2558139534883721</v>
      </c>
      <c r="F17">
        <v>3</v>
      </c>
      <c r="G17">
        <f>F17/D17</f>
        <v>0.27272727272727271</v>
      </c>
      <c r="H17">
        <v>6</v>
      </c>
      <c r="I17">
        <f>H17/D17</f>
        <v>0.54545454545454541</v>
      </c>
      <c r="J17">
        <v>2</v>
      </c>
      <c r="K17">
        <f>J17/D17</f>
        <v>0.18181818181818182</v>
      </c>
      <c r="L17">
        <v>0</v>
      </c>
      <c r="M17">
        <f>L17/D17</f>
        <v>0</v>
      </c>
      <c r="N17">
        <f>(F17*5+H17*4+J17*3+L17*2)/D17</f>
        <v>4.0909090909090908</v>
      </c>
      <c r="O17">
        <f>168/D17</f>
        <v>15.272727272727273</v>
      </c>
      <c r="P17">
        <f t="shared" ref="P17:P24" si="6">O17/22</f>
        <v>0.69421487603305787</v>
      </c>
      <c r="Q17">
        <v>2</v>
      </c>
      <c r="R17">
        <f>Q17/D17</f>
        <v>0.18181818181818182</v>
      </c>
      <c r="S17">
        <v>0</v>
      </c>
      <c r="T17">
        <f>S17/D17</f>
        <v>0</v>
      </c>
    </row>
    <row r="18" spans="1:20">
      <c r="A18" s="1"/>
      <c r="B18">
        <v>2</v>
      </c>
      <c r="C18" t="s">
        <v>1</v>
      </c>
      <c r="D18">
        <v>12</v>
      </c>
      <c r="E18">
        <f>D18/40</f>
        <v>0.3</v>
      </c>
      <c r="F18">
        <v>4</v>
      </c>
      <c r="G18">
        <f>F18/D18</f>
        <v>0.33333333333333331</v>
      </c>
      <c r="H18">
        <v>4</v>
      </c>
      <c r="I18">
        <f>H18/D18</f>
        <v>0.33333333333333331</v>
      </c>
      <c r="J18">
        <v>5</v>
      </c>
      <c r="K18">
        <f t="shared" ref="K18:K25" si="7">J18/D18</f>
        <v>0.41666666666666669</v>
      </c>
      <c r="L18">
        <v>0</v>
      </c>
      <c r="M18">
        <f t="shared" ref="M18:M25" si="8">L18/D18</f>
        <v>0</v>
      </c>
      <c r="N18">
        <f t="shared" ref="N18:N25" si="9">(F18*5+H18*4+J18*3+L18*2)/D18</f>
        <v>4.25</v>
      </c>
      <c r="O18">
        <f>185/D18</f>
        <v>15.416666666666666</v>
      </c>
      <c r="P18">
        <f t="shared" si="6"/>
        <v>0.70075757575757569</v>
      </c>
      <c r="Q18">
        <v>2</v>
      </c>
      <c r="R18">
        <f t="shared" ref="R18:R25" si="10">Q18/D18</f>
        <v>0.16666666666666666</v>
      </c>
      <c r="S18">
        <v>0</v>
      </c>
      <c r="T18">
        <f t="shared" ref="T18:T25" si="11">S18/D18</f>
        <v>0</v>
      </c>
    </row>
    <row r="19" spans="1:20">
      <c r="A19" s="1"/>
      <c r="B19">
        <v>3</v>
      </c>
      <c r="C19" t="s">
        <v>2</v>
      </c>
      <c r="D19">
        <v>30</v>
      </c>
      <c r="E19">
        <f>D19/101</f>
        <v>0.29702970297029702</v>
      </c>
      <c r="F19">
        <v>12</v>
      </c>
      <c r="G19">
        <f>F19/D19</f>
        <v>0.4</v>
      </c>
      <c r="H19">
        <v>13</v>
      </c>
      <c r="I19">
        <f>H19/D19</f>
        <v>0.43333333333333335</v>
      </c>
      <c r="J19">
        <v>5</v>
      </c>
      <c r="K19">
        <f t="shared" si="7"/>
        <v>0.16666666666666666</v>
      </c>
      <c r="L19">
        <v>0</v>
      </c>
      <c r="M19">
        <f t="shared" si="8"/>
        <v>0</v>
      </c>
      <c r="N19">
        <f t="shared" si="9"/>
        <v>4.2333333333333334</v>
      </c>
      <c r="O19">
        <f>467/D19</f>
        <v>15.566666666666666</v>
      </c>
      <c r="P19">
        <f t="shared" si="6"/>
        <v>0.70757575757575752</v>
      </c>
      <c r="Q19">
        <v>5</v>
      </c>
      <c r="R19">
        <f t="shared" si="10"/>
        <v>0.16666666666666666</v>
      </c>
      <c r="S19">
        <v>0</v>
      </c>
      <c r="T19">
        <f t="shared" si="11"/>
        <v>0</v>
      </c>
    </row>
    <row r="20" spans="1:20">
      <c r="A20" s="1"/>
      <c r="B20">
        <v>4</v>
      </c>
      <c r="C20" t="s">
        <v>3</v>
      </c>
      <c r="D20">
        <v>17</v>
      </c>
      <c r="E20">
        <f>D20/46</f>
        <v>0.36956521739130432</v>
      </c>
      <c r="F20">
        <v>3</v>
      </c>
      <c r="G20">
        <f t="shared" ref="G20:G25" si="12">F20/D20</f>
        <v>0.17647058823529413</v>
      </c>
      <c r="H20">
        <v>9</v>
      </c>
      <c r="I20">
        <f t="shared" ref="I20:I25" si="13">H20/D20</f>
        <v>0.52941176470588236</v>
      </c>
      <c r="J20">
        <v>5</v>
      </c>
      <c r="K20">
        <f t="shared" si="7"/>
        <v>0.29411764705882354</v>
      </c>
      <c r="L20">
        <v>0</v>
      </c>
      <c r="M20">
        <f t="shared" si="8"/>
        <v>0</v>
      </c>
      <c r="N20">
        <f t="shared" si="9"/>
        <v>3.8823529411764706</v>
      </c>
      <c r="O20">
        <f>224/D20</f>
        <v>13.176470588235293</v>
      </c>
      <c r="P20">
        <f t="shared" si="6"/>
        <v>0.59893048128342241</v>
      </c>
      <c r="Q20">
        <v>1</v>
      </c>
      <c r="R20">
        <f t="shared" si="10"/>
        <v>5.8823529411764705E-2</v>
      </c>
      <c r="S20">
        <v>0</v>
      </c>
      <c r="T20">
        <f t="shared" si="11"/>
        <v>0</v>
      </c>
    </row>
    <row r="21" spans="1:20">
      <c r="A21" s="1"/>
      <c r="B21">
        <v>5</v>
      </c>
      <c r="C21" t="s">
        <v>4</v>
      </c>
      <c r="G21" t="e">
        <f t="shared" si="12"/>
        <v>#DIV/0!</v>
      </c>
      <c r="I21" t="e">
        <f t="shared" si="13"/>
        <v>#DIV/0!</v>
      </c>
      <c r="K21" t="e">
        <f t="shared" si="7"/>
        <v>#DIV/0!</v>
      </c>
      <c r="M21" t="e">
        <f t="shared" si="8"/>
        <v>#DIV/0!</v>
      </c>
      <c r="N21" t="e">
        <f t="shared" si="9"/>
        <v>#DIV/0!</v>
      </c>
      <c r="P21">
        <f t="shared" si="6"/>
        <v>0</v>
      </c>
      <c r="R21" t="e">
        <f t="shared" si="10"/>
        <v>#DIV/0!</v>
      </c>
      <c r="T21" t="e">
        <f t="shared" si="11"/>
        <v>#DIV/0!</v>
      </c>
    </row>
    <row r="22" spans="1:20">
      <c r="A22" s="1"/>
      <c r="B22">
        <v>6</v>
      </c>
      <c r="C22" t="s">
        <v>5</v>
      </c>
      <c r="D22">
        <v>5</v>
      </c>
      <c r="E22">
        <f>D22/12</f>
        <v>0.41666666666666669</v>
      </c>
      <c r="F22">
        <v>0</v>
      </c>
      <c r="G22">
        <f t="shared" si="12"/>
        <v>0</v>
      </c>
      <c r="H22">
        <v>1</v>
      </c>
      <c r="I22">
        <f t="shared" si="13"/>
        <v>0.2</v>
      </c>
      <c r="J22">
        <v>3</v>
      </c>
      <c r="K22">
        <f t="shared" si="7"/>
        <v>0.6</v>
      </c>
      <c r="L22">
        <v>1</v>
      </c>
      <c r="M22">
        <f t="shared" si="8"/>
        <v>0.2</v>
      </c>
      <c r="N22">
        <f t="shared" si="9"/>
        <v>3</v>
      </c>
      <c r="O22">
        <f>35/D22</f>
        <v>7</v>
      </c>
      <c r="P22">
        <f t="shared" si="6"/>
        <v>0.31818181818181818</v>
      </c>
      <c r="Q22">
        <v>0</v>
      </c>
      <c r="R22">
        <f t="shared" si="10"/>
        <v>0</v>
      </c>
      <c r="S22">
        <v>0</v>
      </c>
      <c r="T22">
        <f t="shared" si="11"/>
        <v>0</v>
      </c>
    </row>
    <row r="23" spans="1:20">
      <c r="A23" s="1"/>
      <c r="B23">
        <v>7</v>
      </c>
      <c r="C23" t="s">
        <v>16</v>
      </c>
      <c r="G23" t="e">
        <f t="shared" si="12"/>
        <v>#DIV/0!</v>
      </c>
      <c r="I23" t="e">
        <f t="shared" si="13"/>
        <v>#DIV/0!</v>
      </c>
      <c r="K23" t="e">
        <f t="shared" si="7"/>
        <v>#DIV/0!</v>
      </c>
      <c r="M23" t="e">
        <f t="shared" si="8"/>
        <v>#DIV/0!</v>
      </c>
      <c r="N23" t="e">
        <f t="shared" si="9"/>
        <v>#DIV/0!</v>
      </c>
      <c r="P23">
        <f t="shared" si="6"/>
        <v>0</v>
      </c>
      <c r="R23" t="e">
        <f t="shared" si="10"/>
        <v>#DIV/0!</v>
      </c>
      <c r="T23" t="e">
        <f t="shared" si="11"/>
        <v>#DIV/0!</v>
      </c>
    </row>
    <row r="24" spans="1:20">
      <c r="A24" s="1"/>
      <c r="B24">
        <v>8</v>
      </c>
      <c r="C24" t="s">
        <v>17</v>
      </c>
      <c r="G24" t="e">
        <f t="shared" si="12"/>
        <v>#DIV/0!</v>
      </c>
      <c r="I24" t="e">
        <f t="shared" si="13"/>
        <v>#DIV/0!</v>
      </c>
      <c r="K24" t="e">
        <f t="shared" si="7"/>
        <v>#DIV/0!</v>
      </c>
      <c r="M24" t="e">
        <f t="shared" si="8"/>
        <v>#DIV/0!</v>
      </c>
      <c r="N24" t="e">
        <f t="shared" si="9"/>
        <v>#DIV/0!</v>
      </c>
      <c r="P24">
        <f t="shared" si="6"/>
        <v>0</v>
      </c>
      <c r="R24" t="e">
        <f t="shared" si="10"/>
        <v>#DIV/0!</v>
      </c>
      <c r="T24" t="e">
        <f t="shared" si="11"/>
        <v>#DIV/0!</v>
      </c>
    </row>
    <row r="25" spans="1:20">
      <c r="A25" s="1"/>
      <c r="C25" t="s">
        <v>6</v>
      </c>
      <c r="D25">
        <f>SUM(D17:D24)</f>
        <v>75</v>
      </c>
      <c r="E25">
        <f>D25/257</f>
        <v>0.29182879377431908</v>
      </c>
      <c r="F25">
        <f>SUM(F17:F24)</f>
        <v>22</v>
      </c>
      <c r="G25">
        <f t="shared" si="12"/>
        <v>0.29333333333333333</v>
      </c>
      <c r="H25">
        <f>SUM(H17:H24)</f>
        <v>33</v>
      </c>
      <c r="I25">
        <f t="shared" si="13"/>
        <v>0.44</v>
      </c>
      <c r="J25">
        <f>SUM(J17:J24)</f>
        <v>20</v>
      </c>
      <c r="K25">
        <f t="shared" si="7"/>
        <v>0.26666666666666666</v>
      </c>
      <c r="L25">
        <f>SUM(L17:L24)</f>
        <v>1</v>
      </c>
      <c r="M25">
        <f t="shared" si="8"/>
        <v>1.3333333333333334E-2</v>
      </c>
      <c r="N25">
        <f t="shared" si="9"/>
        <v>4.0533333333333337</v>
      </c>
      <c r="O25">
        <f>1079/D25</f>
        <v>14.386666666666667</v>
      </c>
      <c r="P25">
        <f>1079/(22*D25)</f>
        <v>0.65393939393939393</v>
      </c>
      <c r="Q25">
        <f>SUM(Q17:Q24)</f>
        <v>10</v>
      </c>
      <c r="R25">
        <f t="shared" si="10"/>
        <v>0.13333333333333333</v>
      </c>
      <c r="S25">
        <f>SUM(S17:S24)</f>
        <v>0</v>
      </c>
      <c r="T25">
        <f t="shared" si="11"/>
        <v>0</v>
      </c>
    </row>
    <row r="26" spans="1:20" ht="15.75" customHeight="1">
      <c r="A26" s="1"/>
      <c r="C26" t="s">
        <v>21</v>
      </c>
      <c r="M26">
        <v>2.4500000000000002</v>
      </c>
      <c r="N26">
        <v>3.94</v>
      </c>
      <c r="O26">
        <v>13.76</v>
      </c>
    </row>
    <row r="28" spans="1:20">
      <c r="B28" s="1" t="s">
        <v>134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0">
      <c r="A29" s="1" t="s">
        <v>130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N29" s="1" t="s">
        <v>24</v>
      </c>
      <c r="O29" s="1" t="s">
        <v>14</v>
      </c>
      <c r="P29" s="1" t="s">
        <v>38</v>
      </c>
      <c r="Q29" s="1" t="s">
        <v>37</v>
      </c>
      <c r="R29" s="1"/>
      <c r="S29" s="1" t="s">
        <v>42</v>
      </c>
      <c r="T29" s="1"/>
    </row>
    <row r="30" spans="1:20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N30" s="1"/>
      <c r="O30" s="1"/>
      <c r="P30" s="1"/>
      <c r="Q30" t="s">
        <v>8</v>
      </c>
      <c r="R30" t="s">
        <v>10</v>
      </c>
      <c r="S30" t="s">
        <v>8</v>
      </c>
      <c r="T30" t="s">
        <v>10</v>
      </c>
    </row>
    <row r="31" spans="1:20">
      <c r="A31" s="1"/>
      <c r="B31">
        <v>1</v>
      </c>
      <c r="C31" t="s">
        <v>0</v>
      </c>
      <c r="D31">
        <v>22</v>
      </c>
      <c r="E31">
        <f>D31/51</f>
        <v>0.43137254901960786</v>
      </c>
      <c r="F31">
        <v>9</v>
      </c>
      <c r="G31">
        <f>F31/D31</f>
        <v>0.40909090909090912</v>
      </c>
      <c r="H31">
        <v>11</v>
      </c>
      <c r="I31">
        <f>H31/D31</f>
        <v>0.5</v>
      </c>
      <c r="J31">
        <v>2</v>
      </c>
      <c r="K31">
        <f>J31/D31</f>
        <v>9.0909090909090912E-2</v>
      </c>
      <c r="L31">
        <v>0</v>
      </c>
      <c r="M31">
        <f>L31/D31</f>
        <v>0</v>
      </c>
      <c r="N31">
        <f>(F31*5+H31*4+J31*3+L31*2)/D31</f>
        <v>4.3181818181818183</v>
      </c>
      <c r="O31">
        <f>361/D31</f>
        <v>16.40909090909091</v>
      </c>
      <c r="P31">
        <f t="shared" ref="P31:P38" si="14">O31/22</f>
        <v>0.74586776859504134</v>
      </c>
      <c r="Q31">
        <v>6</v>
      </c>
      <c r="R31">
        <f>Q31/D31</f>
        <v>0.27272727272727271</v>
      </c>
      <c r="S31">
        <v>2</v>
      </c>
      <c r="T31">
        <f>S31/D31</f>
        <v>9.0909090909090912E-2</v>
      </c>
    </row>
    <row r="32" spans="1:20">
      <c r="A32" s="1"/>
      <c r="B32">
        <v>2</v>
      </c>
      <c r="C32" t="s">
        <v>1</v>
      </c>
      <c r="D32">
        <v>1</v>
      </c>
      <c r="E32">
        <f>D32/35</f>
        <v>2.8571428571428571E-2</v>
      </c>
      <c r="F32">
        <v>1</v>
      </c>
      <c r="G32">
        <f>F32/D32</f>
        <v>1</v>
      </c>
      <c r="H32">
        <v>0</v>
      </c>
      <c r="I32">
        <f>H32/D32</f>
        <v>0</v>
      </c>
      <c r="J32">
        <v>0</v>
      </c>
      <c r="K32">
        <f t="shared" ref="K32:K39" si="15">J32/D32</f>
        <v>0</v>
      </c>
      <c r="L32">
        <v>0</v>
      </c>
      <c r="M32">
        <f t="shared" ref="M32:M39" si="16">L32/D32</f>
        <v>0</v>
      </c>
      <c r="N32">
        <f t="shared" ref="N32:N39" si="17">(F32*5+H32*4+J32*3+L32*2)/D32</f>
        <v>5</v>
      </c>
      <c r="O32">
        <v>21</v>
      </c>
      <c r="P32">
        <f t="shared" si="14"/>
        <v>0.95454545454545459</v>
      </c>
      <c r="Q32">
        <v>1</v>
      </c>
      <c r="R32">
        <f t="shared" ref="R32:R39" si="18">Q32/D32</f>
        <v>1</v>
      </c>
      <c r="S32">
        <v>0</v>
      </c>
      <c r="T32">
        <f t="shared" ref="T32:T39" si="19">S32/D32</f>
        <v>0</v>
      </c>
    </row>
    <row r="33" spans="1:20">
      <c r="A33" s="1"/>
      <c r="B33">
        <v>3</v>
      </c>
      <c r="C33" t="s">
        <v>2</v>
      </c>
      <c r="D33">
        <v>33</v>
      </c>
      <c r="E33">
        <f>D33/97</f>
        <v>0.34020618556701032</v>
      </c>
      <c r="F33">
        <v>18</v>
      </c>
      <c r="G33">
        <f>F33/D33</f>
        <v>0.54545454545454541</v>
      </c>
      <c r="H33">
        <v>10</v>
      </c>
      <c r="I33">
        <f>H33/D33</f>
        <v>0.30303030303030304</v>
      </c>
      <c r="J33">
        <v>5</v>
      </c>
      <c r="K33">
        <f t="shared" si="15"/>
        <v>0.15151515151515152</v>
      </c>
      <c r="L33">
        <v>0</v>
      </c>
      <c r="M33">
        <f t="shared" si="16"/>
        <v>0</v>
      </c>
      <c r="N33">
        <f t="shared" si="17"/>
        <v>4.3939393939393936</v>
      </c>
      <c r="O33">
        <f>541/D33</f>
        <v>16.393939393939394</v>
      </c>
      <c r="P33">
        <f t="shared" si="14"/>
        <v>0.74517906336088158</v>
      </c>
      <c r="Q33">
        <v>9</v>
      </c>
      <c r="R33">
        <f t="shared" si="18"/>
        <v>0.27272727272727271</v>
      </c>
      <c r="S33">
        <v>1</v>
      </c>
      <c r="T33">
        <f t="shared" si="19"/>
        <v>3.0303030303030304E-2</v>
      </c>
    </row>
    <row r="34" spans="1:20">
      <c r="A34" s="1"/>
      <c r="B34">
        <v>4</v>
      </c>
      <c r="C34" t="s">
        <v>3</v>
      </c>
      <c r="D34">
        <v>21</v>
      </c>
      <c r="E34">
        <f>D34/52</f>
        <v>0.40384615384615385</v>
      </c>
      <c r="F34">
        <v>9</v>
      </c>
      <c r="G34">
        <f t="shared" ref="G34:G39" si="20">F34/D34</f>
        <v>0.42857142857142855</v>
      </c>
      <c r="H34">
        <v>7</v>
      </c>
      <c r="I34">
        <f t="shared" ref="I34:I39" si="21">H34/D34</f>
        <v>0.33333333333333331</v>
      </c>
      <c r="J34">
        <v>5</v>
      </c>
      <c r="K34">
        <f t="shared" si="15"/>
        <v>0.23809523809523808</v>
      </c>
      <c r="L34">
        <v>0</v>
      </c>
      <c r="M34">
        <f t="shared" si="16"/>
        <v>0</v>
      </c>
      <c r="N34">
        <f t="shared" si="17"/>
        <v>4.1904761904761907</v>
      </c>
      <c r="O34">
        <f>319/D34</f>
        <v>15.19047619047619</v>
      </c>
      <c r="P34">
        <f t="shared" si="14"/>
        <v>0.69047619047619047</v>
      </c>
      <c r="Q34">
        <v>3</v>
      </c>
      <c r="R34">
        <f t="shared" si="18"/>
        <v>0.14285714285714285</v>
      </c>
      <c r="S34">
        <v>0</v>
      </c>
      <c r="T34">
        <f t="shared" si="19"/>
        <v>0</v>
      </c>
    </row>
    <row r="35" spans="1:20">
      <c r="A35" s="1"/>
      <c r="B35">
        <v>5</v>
      </c>
      <c r="C35" t="s">
        <v>4</v>
      </c>
      <c r="G35" t="e">
        <f t="shared" si="20"/>
        <v>#DIV/0!</v>
      </c>
      <c r="I35" t="e">
        <f t="shared" si="21"/>
        <v>#DIV/0!</v>
      </c>
      <c r="K35" t="e">
        <f t="shared" si="15"/>
        <v>#DIV/0!</v>
      </c>
      <c r="M35" t="e">
        <f t="shared" si="16"/>
        <v>#DIV/0!</v>
      </c>
      <c r="N35" t="e">
        <f t="shared" si="17"/>
        <v>#DIV/0!</v>
      </c>
      <c r="P35">
        <f t="shared" si="14"/>
        <v>0</v>
      </c>
      <c r="R35" t="e">
        <f t="shared" si="18"/>
        <v>#DIV/0!</v>
      </c>
      <c r="T35" t="e">
        <f t="shared" si="19"/>
        <v>#DIV/0!</v>
      </c>
    </row>
    <row r="36" spans="1:20">
      <c r="A36" s="1"/>
      <c r="B36">
        <v>6</v>
      </c>
      <c r="C36" t="s">
        <v>5</v>
      </c>
      <c r="D36">
        <v>2</v>
      </c>
      <c r="E36">
        <f>D36/11</f>
        <v>0.18181818181818182</v>
      </c>
      <c r="F36">
        <v>0</v>
      </c>
      <c r="G36">
        <f t="shared" si="20"/>
        <v>0</v>
      </c>
      <c r="H36">
        <v>0</v>
      </c>
      <c r="I36">
        <f t="shared" si="21"/>
        <v>0</v>
      </c>
      <c r="J36">
        <v>2</v>
      </c>
      <c r="K36">
        <f t="shared" si="15"/>
        <v>1</v>
      </c>
      <c r="L36">
        <v>0</v>
      </c>
      <c r="M36">
        <f t="shared" si="16"/>
        <v>0</v>
      </c>
      <c r="N36">
        <f t="shared" si="17"/>
        <v>3</v>
      </c>
      <c r="O36">
        <f>18/D36</f>
        <v>9</v>
      </c>
      <c r="P36">
        <f t="shared" si="14"/>
        <v>0.40909090909090912</v>
      </c>
      <c r="Q36">
        <v>0</v>
      </c>
      <c r="R36">
        <f t="shared" si="18"/>
        <v>0</v>
      </c>
      <c r="S36">
        <v>0</v>
      </c>
      <c r="T36">
        <f t="shared" si="19"/>
        <v>0</v>
      </c>
    </row>
    <row r="37" spans="1:20">
      <c r="A37" s="1"/>
      <c r="B37">
        <v>7</v>
      </c>
      <c r="C37" t="s">
        <v>16</v>
      </c>
      <c r="G37" t="e">
        <f t="shared" si="20"/>
        <v>#DIV/0!</v>
      </c>
      <c r="I37" t="e">
        <f t="shared" si="21"/>
        <v>#DIV/0!</v>
      </c>
      <c r="K37" t="e">
        <f t="shared" si="15"/>
        <v>#DIV/0!</v>
      </c>
      <c r="M37" t="e">
        <f t="shared" si="16"/>
        <v>#DIV/0!</v>
      </c>
      <c r="N37" t="e">
        <f t="shared" si="17"/>
        <v>#DIV/0!</v>
      </c>
      <c r="P37">
        <f t="shared" si="14"/>
        <v>0</v>
      </c>
      <c r="R37" t="e">
        <f t="shared" si="18"/>
        <v>#DIV/0!</v>
      </c>
      <c r="T37" t="e">
        <f t="shared" si="19"/>
        <v>#DIV/0!</v>
      </c>
    </row>
    <row r="38" spans="1:20">
      <c r="A38" s="1"/>
      <c r="B38">
        <v>8</v>
      </c>
      <c r="C38" t="s">
        <v>17</v>
      </c>
      <c r="G38" t="e">
        <f t="shared" si="20"/>
        <v>#DIV/0!</v>
      </c>
      <c r="I38" t="e">
        <f t="shared" si="21"/>
        <v>#DIV/0!</v>
      </c>
      <c r="K38" t="e">
        <f t="shared" si="15"/>
        <v>#DIV/0!</v>
      </c>
      <c r="M38" t="e">
        <f t="shared" si="16"/>
        <v>#DIV/0!</v>
      </c>
      <c r="N38" t="e">
        <f t="shared" si="17"/>
        <v>#DIV/0!</v>
      </c>
      <c r="P38">
        <f t="shared" si="14"/>
        <v>0</v>
      </c>
      <c r="R38" t="e">
        <f t="shared" si="18"/>
        <v>#DIV/0!</v>
      </c>
      <c r="T38" t="e">
        <f t="shared" si="19"/>
        <v>#DIV/0!</v>
      </c>
    </row>
    <row r="39" spans="1:20">
      <c r="A39" s="1"/>
      <c r="C39" t="s">
        <v>6</v>
      </c>
      <c r="D39">
        <f>SUM(D31:D38)</f>
        <v>79</v>
      </c>
      <c r="E39">
        <f>D39/260</f>
        <v>0.30384615384615382</v>
      </c>
      <c r="F39">
        <f>SUM(F31:F38)</f>
        <v>37</v>
      </c>
      <c r="G39">
        <f t="shared" si="20"/>
        <v>0.46835443037974683</v>
      </c>
      <c r="H39">
        <f>SUM(H31:H38)</f>
        <v>28</v>
      </c>
      <c r="I39">
        <f t="shared" si="21"/>
        <v>0.35443037974683544</v>
      </c>
      <c r="J39">
        <f>SUM(J31:J38)</f>
        <v>14</v>
      </c>
      <c r="K39">
        <f t="shared" si="15"/>
        <v>0.17721518987341772</v>
      </c>
      <c r="L39">
        <v>0</v>
      </c>
      <c r="M39">
        <f t="shared" si="16"/>
        <v>0</v>
      </c>
      <c r="N39">
        <f t="shared" si="17"/>
        <v>4.2911392405063289</v>
      </c>
      <c r="O39">
        <f>1260/D39</f>
        <v>15.949367088607595</v>
      </c>
      <c r="P39">
        <f>1260/(22*D39)</f>
        <v>0.72497123130034524</v>
      </c>
      <c r="Q39">
        <f>SUM(Q31:Q38)</f>
        <v>19</v>
      </c>
      <c r="R39">
        <f t="shared" si="18"/>
        <v>0.24050632911392406</v>
      </c>
      <c r="S39">
        <f>SUM(S31:S38)</f>
        <v>3</v>
      </c>
      <c r="T39">
        <f t="shared" si="19"/>
        <v>3.7974683544303799E-2</v>
      </c>
    </row>
    <row r="40" spans="1:20">
      <c r="A40" s="1"/>
      <c r="C40" t="s">
        <v>21</v>
      </c>
    </row>
    <row r="41" spans="1:20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N41" s="1" t="s">
        <v>13</v>
      </c>
      <c r="O41" s="1" t="s">
        <v>14</v>
      </c>
      <c r="P41" s="1" t="s">
        <v>38</v>
      </c>
      <c r="Q41" s="1" t="s">
        <v>37</v>
      </c>
      <c r="R41" s="1"/>
      <c r="S41" s="1" t="s">
        <v>42</v>
      </c>
      <c r="T41" s="1"/>
    </row>
    <row r="42" spans="1:20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N42" s="1"/>
      <c r="O42" s="1"/>
      <c r="P42" s="1"/>
      <c r="Q42" t="s">
        <v>8</v>
      </c>
      <c r="R42" t="s">
        <v>10</v>
      </c>
      <c r="S42" t="s">
        <v>8</v>
      </c>
      <c r="T42" t="s">
        <v>10</v>
      </c>
    </row>
    <row r="43" spans="1:20">
      <c r="A43" s="1"/>
      <c r="B43">
        <v>1</v>
      </c>
      <c r="C43" t="s">
        <v>0</v>
      </c>
      <c r="D43">
        <v>32</v>
      </c>
      <c r="E43">
        <f>D43/53</f>
        <v>0.60377358490566035</v>
      </c>
      <c r="F43">
        <v>12</v>
      </c>
      <c r="G43">
        <f>F43/D43</f>
        <v>0.375</v>
      </c>
      <c r="H43">
        <v>14</v>
      </c>
      <c r="I43">
        <f>H43/D43</f>
        <v>0.4375</v>
      </c>
      <c r="J43">
        <v>6</v>
      </c>
      <c r="K43">
        <f>J43/D43</f>
        <v>0.1875</v>
      </c>
      <c r="L43">
        <v>0</v>
      </c>
      <c r="M43">
        <f>L43/D43</f>
        <v>0</v>
      </c>
      <c r="N43">
        <f>(F43*5+H43*4+J43*3+L43*2)/D43</f>
        <v>4.1875</v>
      </c>
      <c r="O43">
        <f>(20+11+15+22+21+14+16+20+15+12+20+15+19+22+18+11+10+14+10+13+15+22+20+14+15+21+14+21+7+16+14+11)/D43</f>
        <v>15.875</v>
      </c>
      <c r="P43">
        <f>O43/22</f>
        <v>0.72159090909090906</v>
      </c>
      <c r="Q43">
        <v>10</v>
      </c>
      <c r="R43">
        <f>Q43/D43</f>
        <v>0.3125</v>
      </c>
      <c r="S43">
        <v>3</v>
      </c>
      <c r="T43">
        <f>S43/D43</f>
        <v>9.375E-2</v>
      </c>
    </row>
    <row r="44" spans="1:20">
      <c r="A44" s="1"/>
      <c r="B44">
        <v>2</v>
      </c>
      <c r="C44" t="s">
        <v>1</v>
      </c>
      <c r="D44">
        <v>1</v>
      </c>
      <c r="E44">
        <f>D44/45</f>
        <v>2.2222222222222223E-2</v>
      </c>
      <c r="F44">
        <v>0</v>
      </c>
      <c r="G44">
        <f t="shared" ref="G44:G51" si="22">F44/D44</f>
        <v>0</v>
      </c>
      <c r="H44">
        <v>0</v>
      </c>
      <c r="I44">
        <f t="shared" ref="I44:I51" si="23">H44/D44</f>
        <v>0</v>
      </c>
      <c r="J44">
        <v>1</v>
      </c>
      <c r="K44">
        <f t="shared" ref="K44:K51" si="24">J44/D44</f>
        <v>1</v>
      </c>
      <c r="L44">
        <v>0</v>
      </c>
      <c r="M44">
        <f t="shared" ref="M44:M51" si="25">L44/D44</f>
        <v>0</v>
      </c>
      <c r="N44">
        <f>(F44*5+H44*4+J44*3+L44*2)/D44</f>
        <v>3</v>
      </c>
      <c r="O44">
        <v>10</v>
      </c>
      <c r="P44">
        <f t="shared" ref="P44:P50" si="26">O44/22</f>
        <v>0.45454545454545453</v>
      </c>
      <c r="Q44">
        <v>0</v>
      </c>
      <c r="R44">
        <f t="shared" ref="R44:R51" si="27">Q44/D44</f>
        <v>0</v>
      </c>
      <c r="S44">
        <v>0</v>
      </c>
      <c r="T44">
        <f t="shared" ref="T44:T51" si="28">S44/D44</f>
        <v>0</v>
      </c>
    </row>
    <row r="45" spans="1:20">
      <c r="A45" s="1"/>
      <c r="B45">
        <v>3</v>
      </c>
      <c r="C45" t="s">
        <v>2</v>
      </c>
      <c r="D45">
        <v>15</v>
      </c>
      <c r="E45">
        <f>D45/103</f>
        <v>0.14563106796116504</v>
      </c>
      <c r="F45">
        <v>2</v>
      </c>
      <c r="G45">
        <f>F45/D45</f>
        <v>0.13333333333333333</v>
      </c>
      <c r="H45">
        <v>8</v>
      </c>
      <c r="I45">
        <f>H45/D45</f>
        <v>0.53333333333333333</v>
      </c>
      <c r="J45">
        <v>5</v>
      </c>
      <c r="K45">
        <f t="shared" si="24"/>
        <v>0.33333333333333331</v>
      </c>
      <c r="L45">
        <v>0</v>
      </c>
      <c r="M45">
        <f t="shared" si="25"/>
        <v>0</v>
      </c>
      <c r="N45">
        <f>(F45*5+H45*4+J45*3+L45*2)/D45</f>
        <v>3.8</v>
      </c>
      <c r="O45">
        <f>(9+6+14+12+15+12+12+15+7+15+22+21+11+14+6)/D45</f>
        <v>12.733333333333333</v>
      </c>
      <c r="P45">
        <f>O45/22</f>
        <v>0.57878787878787874</v>
      </c>
      <c r="Q45">
        <v>1</v>
      </c>
      <c r="R45">
        <f t="shared" si="27"/>
        <v>6.6666666666666666E-2</v>
      </c>
      <c r="S45">
        <v>1</v>
      </c>
      <c r="T45">
        <f t="shared" si="28"/>
        <v>6.6666666666666666E-2</v>
      </c>
    </row>
    <row r="46" spans="1:20">
      <c r="A46" s="1"/>
      <c r="B46">
        <v>4</v>
      </c>
      <c r="C46" t="s">
        <v>3</v>
      </c>
      <c r="D46">
        <v>11</v>
      </c>
      <c r="E46">
        <f>D46/42</f>
        <v>0.26190476190476192</v>
      </c>
      <c r="F46">
        <v>4</v>
      </c>
      <c r="G46">
        <f t="shared" si="22"/>
        <v>0.36363636363636365</v>
      </c>
      <c r="H46">
        <v>5</v>
      </c>
      <c r="I46">
        <f t="shared" si="23"/>
        <v>0.45454545454545453</v>
      </c>
      <c r="J46">
        <v>2</v>
      </c>
      <c r="K46">
        <f t="shared" si="24"/>
        <v>0.18181818181818182</v>
      </c>
      <c r="L46">
        <v>0</v>
      </c>
      <c r="M46">
        <f t="shared" si="25"/>
        <v>0</v>
      </c>
      <c r="N46">
        <f>(F46*5+H46*4+J46*3+L46*2)/D46</f>
        <v>4.1818181818181817</v>
      </c>
      <c r="O46">
        <f>(13+11+15+13+18+10+21+21+18+17+14)/D46</f>
        <v>15.545454545454545</v>
      </c>
      <c r="P46">
        <f t="shared" si="26"/>
        <v>0.70661157024793386</v>
      </c>
      <c r="Q46">
        <v>2</v>
      </c>
      <c r="R46">
        <f t="shared" si="27"/>
        <v>0.18181818181818182</v>
      </c>
      <c r="S46">
        <v>0</v>
      </c>
      <c r="T46">
        <f t="shared" si="28"/>
        <v>0</v>
      </c>
    </row>
    <row r="47" spans="1:20">
      <c r="A47" s="1"/>
      <c r="B47">
        <v>5</v>
      </c>
      <c r="C47" t="s">
        <v>4</v>
      </c>
      <c r="G47" t="e">
        <f t="shared" si="22"/>
        <v>#DIV/0!</v>
      </c>
      <c r="I47" t="e">
        <f t="shared" si="23"/>
        <v>#DIV/0!</v>
      </c>
      <c r="K47" t="e">
        <f t="shared" si="24"/>
        <v>#DIV/0!</v>
      </c>
      <c r="M47" t="e">
        <f t="shared" si="25"/>
        <v>#DIV/0!</v>
      </c>
      <c r="P47">
        <f t="shared" si="26"/>
        <v>0</v>
      </c>
      <c r="R47" t="e">
        <f t="shared" si="27"/>
        <v>#DIV/0!</v>
      </c>
      <c r="T47" t="e">
        <f t="shared" si="28"/>
        <v>#DIV/0!</v>
      </c>
    </row>
    <row r="48" spans="1:20">
      <c r="A48" s="1"/>
      <c r="B48">
        <v>6</v>
      </c>
      <c r="C48" t="s">
        <v>5</v>
      </c>
      <c r="G48" t="e">
        <f t="shared" si="22"/>
        <v>#DIV/0!</v>
      </c>
      <c r="I48" t="e">
        <f t="shared" si="23"/>
        <v>#DIV/0!</v>
      </c>
      <c r="K48" t="e">
        <f t="shared" si="24"/>
        <v>#DIV/0!</v>
      </c>
      <c r="M48" t="e">
        <f t="shared" si="25"/>
        <v>#DIV/0!</v>
      </c>
      <c r="P48">
        <f t="shared" si="26"/>
        <v>0</v>
      </c>
      <c r="R48" t="e">
        <f t="shared" si="27"/>
        <v>#DIV/0!</v>
      </c>
      <c r="T48" t="e">
        <f t="shared" si="28"/>
        <v>#DIV/0!</v>
      </c>
    </row>
    <row r="49" spans="1:20">
      <c r="A49" s="1"/>
      <c r="B49">
        <v>7</v>
      </c>
      <c r="C49" t="s">
        <v>16</v>
      </c>
      <c r="G49" t="e">
        <f t="shared" si="22"/>
        <v>#DIV/0!</v>
      </c>
      <c r="I49" t="e">
        <f t="shared" si="23"/>
        <v>#DIV/0!</v>
      </c>
      <c r="K49" t="e">
        <f t="shared" si="24"/>
        <v>#DIV/0!</v>
      </c>
      <c r="M49" t="e">
        <f t="shared" si="25"/>
        <v>#DIV/0!</v>
      </c>
      <c r="P49">
        <f t="shared" si="26"/>
        <v>0</v>
      </c>
      <c r="R49" t="e">
        <f t="shared" si="27"/>
        <v>#DIV/0!</v>
      </c>
      <c r="T49" t="e">
        <f t="shared" si="28"/>
        <v>#DIV/0!</v>
      </c>
    </row>
    <row r="50" spans="1:20">
      <c r="A50" s="1"/>
      <c r="B50">
        <v>8</v>
      </c>
      <c r="C50" t="s">
        <v>17</v>
      </c>
      <c r="G50" t="e">
        <f t="shared" si="22"/>
        <v>#DIV/0!</v>
      </c>
      <c r="I50" t="e">
        <f t="shared" si="23"/>
        <v>#DIV/0!</v>
      </c>
      <c r="K50" t="e">
        <f t="shared" si="24"/>
        <v>#DIV/0!</v>
      </c>
      <c r="M50" t="e">
        <f t="shared" si="25"/>
        <v>#DIV/0!</v>
      </c>
      <c r="P50">
        <f t="shared" si="26"/>
        <v>0</v>
      </c>
      <c r="R50" t="e">
        <f t="shared" si="27"/>
        <v>#DIV/0!</v>
      </c>
      <c r="T50" t="e">
        <f t="shared" si="28"/>
        <v>#DIV/0!</v>
      </c>
    </row>
    <row r="51" spans="1:20">
      <c r="A51" s="1"/>
      <c r="C51" t="s">
        <v>6</v>
      </c>
      <c r="D51">
        <f>SUM(D43:D50)</f>
        <v>59</v>
      </c>
      <c r="E51">
        <f>D51/262</f>
        <v>0.22519083969465647</v>
      </c>
      <c r="F51">
        <f>SUM(F43:F50)</f>
        <v>18</v>
      </c>
      <c r="G51">
        <f t="shared" si="22"/>
        <v>0.30508474576271188</v>
      </c>
      <c r="H51">
        <f>SUM(H43:H50)</f>
        <v>27</v>
      </c>
      <c r="I51">
        <f t="shared" si="23"/>
        <v>0.4576271186440678</v>
      </c>
      <c r="J51">
        <f>SUM(J43:J50)</f>
        <v>14</v>
      </c>
      <c r="K51">
        <f t="shared" si="24"/>
        <v>0.23728813559322035</v>
      </c>
      <c r="L51">
        <v>0</v>
      </c>
      <c r="M51">
        <f t="shared" si="25"/>
        <v>0</v>
      </c>
      <c r="N51">
        <f>(F51*5+H51*4+J51*3+L51*2)/D51</f>
        <v>4.0677966101694913</v>
      </c>
      <c r="O51">
        <f>(508+10+206+171)/D51</f>
        <v>15.169491525423728</v>
      </c>
      <c r="P51">
        <f>(508+10+206+171)/(22*D51)</f>
        <v>0.68952234206471497</v>
      </c>
      <c r="Q51">
        <f>SUM(Q43:Q50)</f>
        <v>13</v>
      </c>
      <c r="R51">
        <f t="shared" si="27"/>
        <v>0.22033898305084745</v>
      </c>
      <c r="S51">
        <f>SUM(S43:S50)</f>
        <v>4</v>
      </c>
      <c r="T51">
        <f t="shared" si="28"/>
        <v>6.7796610169491525E-2</v>
      </c>
    </row>
    <row r="52" spans="1:20">
      <c r="A52" s="1"/>
      <c r="C52" t="s">
        <v>21</v>
      </c>
    </row>
  </sheetData>
  <mergeCells count="47">
    <mergeCell ref="P2:P3"/>
    <mergeCell ref="Q2:R2"/>
    <mergeCell ref="S2:T2"/>
    <mergeCell ref="B1:O1"/>
    <mergeCell ref="A2:A13"/>
    <mergeCell ref="D2:E2"/>
    <mergeCell ref="F2:G2"/>
    <mergeCell ref="H2:I2"/>
    <mergeCell ref="J2:K2"/>
    <mergeCell ref="L2:M2"/>
    <mergeCell ref="N2:N3"/>
    <mergeCell ref="O2:O3"/>
    <mergeCell ref="A29:A40"/>
    <mergeCell ref="O29:O30"/>
    <mergeCell ref="S15:T15"/>
    <mergeCell ref="B14:O14"/>
    <mergeCell ref="A15:A26"/>
    <mergeCell ref="D15:E15"/>
    <mergeCell ref="F15:G15"/>
    <mergeCell ref="H15:I15"/>
    <mergeCell ref="J15:K15"/>
    <mergeCell ref="L15:M15"/>
    <mergeCell ref="N15:N16"/>
    <mergeCell ref="O15:O16"/>
    <mergeCell ref="B28:O28"/>
    <mergeCell ref="L29:M29"/>
    <mergeCell ref="N29:N30"/>
    <mergeCell ref="P15:P16"/>
    <mergeCell ref="Q15:R15"/>
    <mergeCell ref="P29:P30"/>
    <mergeCell ref="Q29:R29"/>
    <mergeCell ref="A41:A52"/>
    <mergeCell ref="Q41:R41"/>
    <mergeCell ref="S41:T41"/>
    <mergeCell ref="P41:P42"/>
    <mergeCell ref="D29:E29"/>
    <mergeCell ref="F29:G29"/>
    <mergeCell ref="H29:I29"/>
    <mergeCell ref="J29:K29"/>
    <mergeCell ref="O41:O42"/>
    <mergeCell ref="D41:E41"/>
    <mergeCell ref="F41:G41"/>
    <mergeCell ref="H41:I41"/>
    <mergeCell ref="J41:K41"/>
    <mergeCell ref="L41:M41"/>
    <mergeCell ref="N41:N42"/>
    <mergeCell ref="S29:T29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2"/>
  <sheetViews>
    <sheetView view="pageBreakPreview" zoomScale="6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4" sqref="C4:C9"/>
    </sheetView>
  </sheetViews>
  <sheetFormatPr defaultRowHeight="15"/>
  <cols>
    <col min="2" max="2" width="6.42578125" customWidth="1"/>
    <col min="3" max="3" width="15.28515625" customWidth="1"/>
    <col min="4" max="10" width="9.28515625" bestFit="1" customWidth="1"/>
    <col min="11" max="11" width="9.42578125" bestFit="1" customWidth="1"/>
    <col min="13" max="13" width="9.28515625" bestFit="1" customWidth="1"/>
    <col min="14" max="15" width="8.28515625" customWidth="1"/>
    <col min="16" max="16" width="9" customWidth="1"/>
    <col min="18" max="18" width="11.5703125" bestFit="1" customWidth="1"/>
  </cols>
  <sheetData>
    <row r="1" spans="1:20">
      <c r="B1" s="1" t="s">
        <v>202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24</v>
      </c>
      <c r="O2" s="1" t="s">
        <v>14</v>
      </c>
      <c r="P2" s="1" t="s">
        <v>204</v>
      </c>
      <c r="Q2" s="1" t="s">
        <v>219</v>
      </c>
      <c r="R2" s="1"/>
      <c r="S2" s="1" t="s">
        <v>203</v>
      </c>
      <c r="T2" s="1"/>
    </row>
    <row r="3" spans="1:20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s="1"/>
      <c r="O3" s="1"/>
      <c r="P3" s="1"/>
      <c r="Q3" t="s">
        <v>8</v>
      </c>
      <c r="R3" t="s">
        <v>10</v>
      </c>
      <c r="S3" t="s">
        <v>8</v>
      </c>
      <c r="T3" t="s">
        <v>10</v>
      </c>
    </row>
    <row r="4" spans="1:20">
      <c r="A4" s="1"/>
      <c r="B4">
        <v>1</v>
      </c>
      <c r="C4" t="s">
        <v>0</v>
      </c>
      <c r="D4">
        <v>8</v>
      </c>
      <c r="E4">
        <f>D4/56</f>
        <v>0.14285714285714285</v>
      </c>
      <c r="F4">
        <v>1</v>
      </c>
      <c r="G4">
        <f>F4/D4</f>
        <v>0.125</v>
      </c>
      <c r="H4">
        <v>5</v>
      </c>
      <c r="I4">
        <f t="shared" ref="I4:I12" si="0">H4/D4</f>
        <v>0.625</v>
      </c>
      <c r="J4">
        <v>2</v>
      </c>
      <c r="K4">
        <f>J4/D4</f>
        <v>0.25</v>
      </c>
      <c r="L4">
        <v>0.03</v>
      </c>
      <c r="M4">
        <v>0</v>
      </c>
      <c r="N4">
        <v>3.87</v>
      </c>
      <c r="O4">
        <f>220/D4</f>
        <v>27.5</v>
      </c>
      <c r="P4">
        <f>O4/45</f>
        <v>0.61111111111111116</v>
      </c>
      <c r="Q4">
        <v>1</v>
      </c>
      <c r="R4">
        <f>Q4/D4</f>
        <v>0.125</v>
      </c>
      <c r="S4">
        <v>0</v>
      </c>
      <c r="T4">
        <f>S4/D4</f>
        <v>0</v>
      </c>
    </row>
    <row r="5" spans="1:20">
      <c r="A5" s="1"/>
      <c r="B5">
        <v>2</v>
      </c>
      <c r="C5" t="s">
        <v>1</v>
      </c>
      <c r="D5">
        <v>8</v>
      </c>
      <c r="E5">
        <f>D5/46</f>
        <v>0.17391304347826086</v>
      </c>
      <c r="F5">
        <v>1</v>
      </c>
      <c r="G5">
        <f t="shared" ref="G5:G12" si="1">F5/D5</f>
        <v>0.125</v>
      </c>
      <c r="H5">
        <v>4</v>
      </c>
      <c r="I5">
        <f t="shared" si="0"/>
        <v>0.5</v>
      </c>
      <c r="J5">
        <v>3</v>
      </c>
      <c r="K5">
        <f>J5/D5</f>
        <v>0.375</v>
      </c>
      <c r="L5">
        <v>0.03</v>
      </c>
      <c r="M5">
        <v>0</v>
      </c>
      <c r="N5">
        <f>(F5*5+H5*4+J5*3+L5*2)/D5</f>
        <v>3.7574999999999998</v>
      </c>
      <c r="O5">
        <f>217/D5</f>
        <v>27.125</v>
      </c>
      <c r="P5">
        <f>O5/45</f>
        <v>0.60277777777777775</v>
      </c>
      <c r="Q5">
        <v>0</v>
      </c>
      <c r="R5">
        <f t="shared" ref="R5:R12" si="2">Q5/D5</f>
        <v>0</v>
      </c>
      <c r="S5">
        <v>0</v>
      </c>
      <c r="T5">
        <f t="shared" ref="T5:T12" si="3">S5/D5</f>
        <v>0</v>
      </c>
    </row>
    <row r="6" spans="1:20">
      <c r="A6" s="1"/>
      <c r="B6">
        <v>3</v>
      </c>
      <c r="C6" t="s">
        <v>2</v>
      </c>
      <c r="D6">
        <v>6</v>
      </c>
      <c r="E6">
        <f>D6/86</f>
        <v>6.9767441860465115E-2</v>
      </c>
      <c r="F6">
        <v>1</v>
      </c>
      <c r="G6">
        <f t="shared" si="1"/>
        <v>0.16666666666666666</v>
      </c>
      <c r="H6">
        <v>3</v>
      </c>
      <c r="I6">
        <f t="shared" si="0"/>
        <v>0.5</v>
      </c>
      <c r="J6">
        <v>2</v>
      </c>
      <c r="K6">
        <f>J6/D6</f>
        <v>0.33333333333333331</v>
      </c>
      <c r="L6">
        <v>0</v>
      </c>
      <c r="M6">
        <f>L6/D6</f>
        <v>0</v>
      </c>
      <c r="N6">
        <f>(F6*5+H6*4+J6*3+L6*2)/D6</f>
        <v>3.8333333333333335</v>
      </c>
      <c r="O6">
        <f>167/D6</f>
        <v>27.833333333333332</v>
      </c>
      <c r="P6">
        <f>O6/45</f>
        <v>0.61851851851851847</v>
      </c>
      <c r="Q6">
        <v>1</v>
      </c>
      <c r="R6">
        <f t="shared" si="2"/>
        <v>0.16666666666666666</v>
      </c>
      <c r="S6">
        <v>0</v>
      </c>
      <c r="T6">
        <f t="shared" si="3"/>
        <v>0</v>
      </c>
    </row>
    <row r="7" spans="1:20">
      <c r="A7" s="1"/>
      <c r="B7">
        <v>4</v>
      </c>
      <c r="C7" t="s">
        <v>3</v>
      </c>
      <c r="D7">
        <v>5</v>
      </c>
      <c r="E7">
        <f>D7/69</f>
        <v>7.2463768115942032E-2</v>
      </c>
      <c r="F7">
        <v>0</v>
      </c>
      <c r="G7">
        <f t="shared" si="1"/>
        <v>0</v>
      </c>
      <c r="H7">
        <v>3</v>
      </c>
      <c r="I7">
        <f t="shared" si="0"/>
        <v>0.6</v>
      </c>
      <c r="J7">
        <v>2</v>
      </c>
      <c r="K7">
        <f>J7/D7</f>
        <v>0.4</v>
      </c>
      <c r="L7">
        <v>0</v>
      </c>
      <c r="M7">
        <f>L7/D7</f>
        <v>0</v>
      </c>
      <c r="N7">
        <f>(F7*5+H7*4+J7*3+L7*2)/D7</f>
        <v>3.6</v>
      </c>
      <c r="O7">
        <f>127/D7</f>
        <v>25.4</v>
      </c>
      <c r="P7">
        <f>O7/45</f>
        <v>0.56444444444444442</v>
      </c>
      <c r="Q7">
        <v>0</v>
      </c>
      <c r="R7">
        <f t="shared" si="2"/>
        <v>0</v>
      </c>
      <c r="S7">
        <v>0</v>
      </c>
      <c r="T7">
        <f t="shared" si="3"/>
        <v>0</v>
      </c>
    </row>
    <row r="8" spans="1:20">
      <c r="A8" s="1"/>
      <c r="B8">
        <v>5</v>
      </c>
      <c r="C8" t="s">
        <v>4</v>
      </c>
      <c r="D8">
        <v>0</v>
      </c>
      <c r="E8">
        <f>D8/6</f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0.03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>
      <c r="A9" s="1"/>
      <c r="B9">
        <v>6</v>
      </c>
      <c r="C9" t="s">
        <v>5</v>
      </c>
      <c r="D9">
        <v>2</v>
      </c>
      <c r="E9">
        <f>D9/13</f>
        <v>0.15384615384615385</v>
      </c>
      <c r="F9">
        <v>0</v>
      </c>
      <c r="G9">
        <f t="shared" si="1"/>
        <v>0</v>
      </c>
      <c r="H9">
        <v>1</v>
      </c>
      <c r="I9">
        <f t="shared" si="0"/>
        <v>0.5</v>
      </c>
      <c r="J9">
        <v>1</v>
      </c>
      <c r="K9">
        <f>J9/D9</f>
        <v>0.5</v>
      </c>
      <c r="L9">
        <v>0</v>
      </c>
      <c r="M9">
        <f>L9/D9</f>
        <v>0</v>
      </c>
      <c r="N9">
        <f>(F9*5+H9*4+J9*3+L9*2)/D9</f>
        <v>3.5</v>
      </c>
      <c r="O9">
        <f>51/D9</f>
        <v>25.5</v>
      </c>
      <c r="P9">
        <f>O9/45</f>
        <v>0.56666666666666665</v>
      </c>
      <c r="Q9">
        <v>0</v>
      </c>
      <c r="R9">
        <f t="shared" si="2"/>
        <v>0</v>
      </c>
      <c r="S9">
        <v>0</v>
      </c>
      <c r="T9">
        <f t="shared" si="3"/>
        <v>0</v>
      </c>
    </row>
    <row r="10" spans="1:20">
      <c r="A10" s="1"/>
      <c r="B10">
        <v>7</v>
      </c>
      <c r="C10" t="s">
        <v>16</v>
      </c>
      <c r="D10">
        <v>0</v>
      </c>
      <c r="E10">
        <f>D10/7</f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0.03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s="1"/>
      <c r="B11">
        <v>8</v>
      </c>
      <c r="C11" t="s">
        <v>17</v>
      </c>
      <c r="D11">
        <v>0</v>
      </c>
      <c r="E11">
        <v>0</v>
      </c>
      <c r="F11">
        <v>0</v>
      </c>
      <c r="G11" t="e">
        <f t="shared" si="1"/>
        <v>#DIV/0!</v>
      </c>
      <c r="H11">
        <v>0</v>
      </c>
      <c r="I11">
        <v>0</v>
      </c>
      <c r="J11">
        <v>0</v>
      </c>
      <c r="K11">
        <v>0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 t="e">
        <f t="shared" si="2"/>
        <v>#DIV/0!</v>
      </c>
      <c r="S11">
        <v>0</v>
      </c>
      <c r="T11" t="e">
        <f t="shared" si="3"/>
        <v>#DIV/0!</v>
      </c>
    </row>
    <row r="12" spans="1:20">
      <c r="A12" s="1"/>
      <c r="C12" t="s">
        <v>6</v>
      </c>
      <c r="D12">
        <f>SUM(D4:D11)</f>
        <v>29</v>
      </c>
      <c r="E12">
        <f>D12/283</f>
        <v>0.10247349823321555</v>
      </c>
      <c r="F12">
        <f>SUM(F4:F11)</f>
        <v>3</v>
      </c>
      <c r="G12">
        <f t="shared" si="1"/>
        <v>0.10344827586206896</v>
      </c>
      <c r="H12">
        <f>SUM(H4:H11)</f>
        <v>16</v>
      </c>
      <c r="I12">
        <f t="shared" si="0"/>
        <v>0.55172413793103448</v>
      </c>
      <c r="J12">
        <f>SUM(J4:J11)</f>
        <v>10</v>
      </c>
      <c r="K12">
        <f>J12/D12</f>
        <v>0.34482758620689657</v>
      </c>
      <c r="L12">
        <f>SUM(L4:L11)</f>
        <v>0.15</v>
      </c>
      <c r="M12">
        <v>0</v>
      </c>
      <c r="N12">
        <v>3.58</v>
      </c>
      <c r="O12">
        <v>26.96</v>
      </c>
      <c r="P12">
        <f>782/(D12*45)</f>
        <v>0.59923371647509582</v>
      </c>
      <c r="Q12">
        <f>Q4+Q5+Q6+Q7+Q8+Q9+Q10+Q11</f>
        <v>2</v>
      </c>
      <c r="R12">
        <f t="shared" si="2"/>
        <v>6.8965517241379309E-2</v>
      </c>
      <c r="S12">
        <f>SUM(S4:S11)</f>
        <v>0</v>
      </c>
      <c r="T12">
        <f t="shared" si="3"/>
        <v>0</v>
      </c>
    </row>
    <row r="13" spans="1:20">
      <c r="A13" s="1"/>
      <c r="C13" t="s">
        <v>21</v>
      </c>
    </row>
    <row r="14" spans="1:20">
      <c r="B14" s="1" t="s">
        <v>170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24</v>
      </c>
      <c r="O15" s="1" t="s">
        <v>14</v>
      </c>
      <c r="P15" s="1" t="s">
        <v>41</v>
      </c>
      <c r="Q15" s="1" t="s">
        <v>126</v>
      </c>
      <c r="R15" s="1"/>
      <c r="S15" s="1" t="s">
        <v>149</v>
      </c>
      <c r="T15" s="1"/>
    </row>
    <row r="16" spans="1:20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s="1"/>
      <c r="O16" s="1"/>
      <c r="P16" s="1"/>
      <c r="Q16" t="s">
        <v>8</v>
      </c>
      <c r="R16" t="s">
        <v>10</v>
      </c>
      <c r="S16" t="s">
        <v>8</v>
      </c>
      <c r="T16" t="s">
        <v>10</v>
      </c>
    </row>
    <row r="17" spans="1:20">
      <c r="A17" s="1"/>
      <c r="B17">
        <v>1</v>
      </c>
      <c r="C17" t="s">
        <v>0</v>
      </c>
      <c r="D17">
        <v>8</v>
      </c>
      <c r="E17">
        <f>D17/43</f>
        <v>0.18604651162790697</v>
      </c>
      <c r="F17">
        <v>5</v>
      </c>
      <c r="G17">
        <f>F17/D17</f>
        <v>0.625</v>
      </c>
      <c r="H17">
        <v>2</v>
      </c>
      <c r="I17">
        <f t="shared" ref="I17:I25" si="4">H17/D17</f>
        <v>0.25</v>
      </c>
      <c r="J17">
        <v>1</v>
      </c>
      <c r="K17">
        <f>J17/D17</f>
        <v>0.125</v>
      </c>
      <c r="L17">
        <v>0.03</v>
      </c>
      <c r="M17">
        <v>0</v>
      </c>
      <c r="N17">
        <f>(F17*5+H17*4+J17*3+L17*2)/D17</f>
        <v>4.5075000000000003</v>
      </c>
      <c r="O17">
        <f>285/D17</f>
        <v>35.625</v>
      </c>
      <c r="P17">
        <f t="shared" ref="P17:P24" si="5">O17/46</f>
        <v>0.77445652173913049</v>
      </c>
      <c r="Q17">
        <v>0</v>
      </c>
      <c r="R17">
        <f>Q17/D17</f>
        <v>0</v>
      </c>
      <c r="S17">
        <v>0</v>
      </c>
      <c r="T17">
        <f>S17/D17</f>
        <v>0</v>
      </c>
    </row>
    <row r="18" spans="1:20">
      <c r="A18" s="1"/>
      <c r="B18">
        <v>2</v>
      </c>
      <c r="C18" t="s">
        <v>1</v>
      </c>
      <c r="D18">
        <v>15</v>
      </c>
      <c r="E18">
        <f>D18/40</f>
        <v>0.375</v>
      </c>
      <c r="F18">
        <v>2</v>
      </c>
      <c r="G18">
        <f t="shared" ref="G18:G25" si="6">F18/D18</f>
        <v>0.13333333333333333</v>
      </c>
      <c r="H18">
        <v>3</v>
      </c>
      <c r="I18">
        <f t="shared" si="4"/>
        <v>0.2</v>
      </c>
      <c r="J18">
        <v>10</v>
      </c>
      <c r="K18">
        <f t="shared" ref="K18:K24" si="7">J18/D18</f>
        <v>0.66666666666666663</v>
      </c>
      <c r="L18">
        <v>0.03</v>
      </c>
      <c r="M18">
        <v>0</v>
      </c>
      <c r="N18">
        <f t="shared" ref="N18:N24" si="8">(F18*5+H18*4+J18*3+L18*2)/D18</f>
        <v>3.4706666666666668</v>
      </c>
      <c r="O18">
        <f>354/D18</f>
        <v>23.6</v>
      </c>
      <c r="P18">
        <f t="shared" si="5"/>
        <v>0.5130434782608696</v>
      </c>
      <c r="Q18">
        <v>0</v>
      </c>
      <c r="R18">
        <f t="shared" ref="R18:R25" si="9">Q18/D18</f>
        <v>0</v>
      </c>
      <c r="S18">
        <v>0</v>
      </c>
      <c r="T18">
        <f t="shared" ref="T18:T25" si="10">S18/D18</f>
        <v>0</v>
      </c>
    </row>
    <row r="19" spans="1:20">
      <c r="A19" s="1"/>
      <c r="B19">
        <v>3</v>
      </c>
      <c r="C19" t="s">
        <v>2</v>
      </c>
      <c r="D19">
        <v>16</v>
      </c>
      <c r="E19">
        <f>D19/101</f>
        <v>0.15841584158415842</v>
      </c>
      <c r="F19">
        <v>1</v>
      </c>
      <c r="G19">
        <f t="shared" si="6"/>
        <v>6.25E-2</v>
      </c>
      <c r="H19">
        <v>4</v>
      </c>
      <c r="I19">
        <f t="shared" si="4"/>
        <v>0.25</v>
      </c>
      <c r="J19">
        <v>11</v>
      </c>
      <c r="K19">
        <f t="shared" si="7"/>
        <v>0.6875</v>
      </c>
      <c r="L19">
        <v>0</v>
      </c>
      <c r="M19">
        <f>L19/D19</f>
        <v>0</v>
      </c>
      <c r="N19">
        <f t="shared" si="8"/>
        <v>3.375</v>
      </c>
      <c r="O19">
        <f>393/D19</f>
        <v>24.5625</v>
      </c>
      <c r="P19">
        <f t="shared" si="5"/>
        <v>0.53396739130434778</v>
      </c>
      <c r="Q19">
        <v>0</v>
      </c>
      <c r="R19">
        <f t="shared" si="9"/>
        <v>0</v>
      </c>
      <c r="S19">
        <v>0</v>
      </c>
      <c r="T19">
        <f t="shared" si="10"/>
        <v>0</v>
      </c>
    </row>
    <row r="20" spans="1:20">
      <c r="A20" s="1"/>
      <c r="B20">
        <v>4</v>
      </c>
      <c r="C20" t="s">
        <v>3</v>
      </c>
      <c r="D20">
        <v>16</v>
      </c>
      <c r="E20">
        <f>D20/52</f>
        <v>0.30769230769230771</v>
      </c>
      <c r="F20">
        <v>0</v>
      </c>
      <c r="G20">
        <f t="shared" si="6"/>
        <v>0</v>
      </c>
      <c r="H20">
        <v>3</v>
      </c>
      <c r="I20">
        <f t="shared" si="4"/>
        <v>0.1875</v>
      </c>
      <c r="J20">
        <v>13</v>
      </c>
      <c r="K20">
        <f t="shared" si="7"/>
        <v>0.8125</v>
      </c>
      <c r="L20">
        <v>0</v>
      </c>
      <c r="M20">
        <f>L20/D20</f>
        <v>0</v>
      </c>
      <c r="N20">
        <f t="shared" si="8"/>
        <v>3.1875</v>
      </c>
      <c r="O20">
        <f>342/D20</f>
        <v>21.375</v>
      </c>
      <c r="P20">
        <f t="shared" si="5"/>
        <v>0.46467391304347827</v>
      </c>
      <c r="Q20">
        <v>0</v>
      </c>
      <c r="R20">
        <f t="shared" si="9"/>
        <v>0</v>
      </c>
      <c r="S20">
        <v>0</v>
      </c>
      <c r="T20">
        <f t="shared" si="10"/>
        <v>0</v>
      </c>
    </row>
    <row r="21" spans="1:20">
      <c r="A21" s="1"/>
      <c r="B21">
        <v>5</v>
      </c>
      <c r="C21" t="s">
        <v>4</v>
      </c>
      <c r="D21">
        <v>6</v>
      </c>
      <c r="E21">
        <f>D21/6</f>
        <v>1</v>
      </c>
      <c r="F21">
        <v>0</v>
      </c>
      <c r="G21">
        <f t="shared" si="6"/>
        <v>0</v>
      </c>
      <c r="H21">
        <v>2</v>
      </c>
      <c r="I21">
        <f t="shared" si="4"/>
        <v>0.33333333333333331</v>
      </c>
      <c r="J21">
        <v>4</v>
      </c>
      <c r="K21">
        <f t="shared" si="7"/>
        <v>0.66666666666666663</v>
      </c>
      <c r="L21">
        <v>0.03</v>
      </c>
      <c r="M21">
        <v>0</v>
      </c>
      <c r="N21">
        <f t="shared" si="8"/>
        <v>3.3433333333333333</v>
      </c>
      <c r="O21">
        <f>134/D21</f>
        <v>22.333333333333332</v>
      </c>
      <c r="P21">
        <f t="shared" si="5"/>
        <v>0.48550724637681159</v>
      </c>
      <c r="Q21">
        <v>0</v>
      </c>
      <c r="R21">
        <f t="shared" si="9"/>
        <v>0</v>
      </c>
      <c r="T21">
        <f t="shared" si="10"/>
        <v>0</v>
      </c>
    </row>
    <row r="22" spans="1:20">
      <c r="A22" s="1"/>
      <c r="B22">
        <v>6</v>
      </c>
      <c r="C22" t="s">
        <v>5</v>
      </c>
      <c r="E22">
        <f>D22/11</f>
        <v>0</v>
      </c>
      <c r="F22">
        <v>0</v>
      </c>
      <c r="G22" t="e">
        <f t="shared" si="6"/>
        <v>#DIV/0!</v>
      </c>
      <c r="H22">
        <v>0</v>
      </c>
      <c r="I22" t="e">
        <f t="shared" si="4"/>
        <v>#DIV/0!</v>
      </c>
      <c r="J22">
        <v>0</v>
      </c>
      <c r="K22" t="e">
        <f t="shared" si="7"/>
        <v>#DIV/0!</v>
      </c>
      <c r="L22">
        <v>0</v>
      </c>
      <c r="M22" t="e">
        <f>L22/D22</f>
        <v>#DIV/0!</v>
      </c>
      <c r="N22" t="e">
        <f t="shared" si="8"/>
        <v>#DIV/0!</v>
      </c>
      <c r="O22" t="e">
        <f>44/D22</f>
        <v>#DIV/0!</v>
      </c>
      <c r="P22" t="e">
        <f t="shared" si="5"/>
        <v>#DIV/0!</v>
      </c>
      <c r="Q22">
        <v>0</v>
      </c>
      <c r="R22" t="e">
        <f t="shared" si="9"/>
        <v>#DIV/0!</v>
      </c>
      <c r="S22">
        <v>0</v>
      </c>
      <c r="T22" t="e">
        <f t="shared" si="10"/>
        <v>#DIV/0!</v>
      </c>
    </row>
    <row r="23" spans="1:20">
      <c r="A23" s="1"/>
      <c r="B23">
        <v>7</v>
      </c>
      <c r="C23" t="s">
        <v>16</v>
      </c>
      <c r="E23">
        <f>D23/7</f>
        <v>0</v>
      </c>
      <c r="F23">
        <v>0</v>
      </c>
      <c r="G23" t="e">
        <f t="shared" si="6"/>
        <v>#DIV/0!</v>
      </c>
      <c r="H23">
        <v>0</v>
      </c>
      <c r="I23" t="e">
        <f t="shared" si="4"/>
        <v>#DIV/0!</v>
      </c>
      <c r="J23">
        <v>0</v>
      </c>
      <c r="K23" t="e">
        <f t="shared" si="7"/>
        <v>#DIV/0!</v>
      </c>
      <c r="L23">
        <v>0.03</v>
      </c>
      <c r="M23">
        <v>0</v>
      </c>
      <c r="N23" t="e">
        <f t="shared" si="8"/>
        <v>#DIV/0!</v>
      </c>
      <c r="O23" t="e">
        <f>126/D23</f>
        <v>#DIV/0!</v>
      </c>
      <c r="P23" t="e">
        <f t="shared" si="5"/>
        <v>#DIV/0!</v>
      </c>
      <c r="Q23">
        <v>0</v>
      </c>
      <c r="R23" t="e">
        <f t="shared" si="9"/>
        <v>#DIV/0!</v>
      </c>
      <c r="T23" t="e">
        <f t="shared" si="10"/>
        <v>#DIV/0!</v>
      </c>
    </row>
    <row r="24" spans="1:20">
      <c r="A24" s="1"/>
      <c r="B24">
        <v>8</v>
      </c>
      <c r="C24" t="s">
        <v>17</v>
      </c>
      <c r="D24">
        <v>2</v>
      </c>
      <c r="E24">
        <f>D24/2</f>
        <v>1</v>
      </c>
      <c r="F24">
        <v>0</v>
      </c>
      <c r="G24">
        <f t="shared" si="6"/>
        <v>0</v>
      </c>
      <c r="H24">
        <v>1</v>
      </c>
      <c r="I24">
        <f t="shared" si="4"/>
        <v>0.5</v>
      </c>
      <c r="J24">
        <v>1</v>
      </c>
      <c r="K24">
        <f t="shared" si="7"/>
        <v>0.5</v>
      </c>
      <c r="L24">
        <v>0.03</v>
      </c>
      <c r="M24">
        <v>0</v>
      </c>
      <c r="N24">
        <f t="shared" si="8"/>
        <v>3.53</v>
      </c>
      <c r="O24">
        <f>51/D24</f>
        <v>25.5</v>
      </c>
      <c r="P24">
        <f t="shared" si="5"/>
        <v>0.55434782608695654</v>
      </c>
      <c r="Q24">
        <v>0</v>
      </c>
      <c r="R24">
        <f t="shared" si="9"/>
        <v>0</v>
      </c>
      <c r="T24">
        <f t="shared" si="10"/>
        <v>0</v>
      </c>
    </row>
    <row r="25" spans="1:20">
      <c r="A25" s="1"/>
      <c r="C25" t="s">
        <v>6</v>
      </c>
      <c r="D25">
        <f>SUM(D17:D24)</f>
        <v>63</v>
      </c>
      <c r="E25">
        <f>D25/257</f>
        <v>0.24513618677042801</v>
      </c>
      <c r="F25">
        <f>SUM(F17:F24)</f>
        <v>8</v>
      </c>
      <c r="G25">
        <f t="shared" si="6"/>
        <v>0.12698412698412698</v>
      </c>
      <c r="H25">
        <f>SUM(H17:H24)</f>
        <v>15</v>
      </c>
      <c r="I25">
        <f t="shared" si="4"/>
        <v>0.23809523809523808</v>
      </c>
      <c r="J25">
        <f>SUM(J17:J24)</f>
        <v>40</v>
      </c>
      <c r="K25">
        <f>J25/D25</f>
        <v>0.63492063492063489</v>
      </c>
      <c r="L25">
        <f>SUM(L17:L24)</f>
        <v>0.15</v>
      </c>
      <c r="M25">
        <v>0</v>
      </c>
      <c r="N25">
        <f>(F25*5+H25*4+J25*3+L25*2)/D25</f>
        <v>3.4968253968253968</v>
      </c>
      <c r="O25">
        <f>1559/D25</f>
        <v>24.746031746031747</v>
      </c>
      <c r="P25">
        <f>1559/(D25*46)</f>
        <v>0.53795721187025536</v>
      </c>
      <c r="Q25">
        <f>Q17+Q18+Q19+Q20+Q21+Q22+Q23+Q24</f>
        <v>0</v>
      </c>
      <c r="R25">
        <f t="shared" si="9"/>
        <v>0</v>
      </c>
      <c r="S25">
        <f>SUM(S17:S24)</f>
        <v>0</v>
      </c>
      <c r="T25">
        <f t="shared" si="10"/>
        <v>0</v>
      </c>
    </row>
    <row r="26" spans="1:20">
      <c r="A26" s="1"/>
      <c r="C26" t="s">
        <v>21</v>
      </c>
      <c r="M26">
        <v>2.29</v>
      </c>
      <c r="N26">
        <v>3.43</v>
      </c>
      <c r="O26">
        <v>24.31</v>
      </c>
    </row>
    <row r="28" spans="1:20">
      <c r="B28" s="1" t="s">
        <v>136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0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N29" s="1" t="s">
        <v>24</v>
      </c>
      <c r="O29" s="1" t="s">
        <v>14</v>
      </c>
      <c r="P29" s="1" t="s">
        <v>41</v>
      </c>
      <c r="Q29" s="1" t="s">
        <v>126</v>
      </c>
      <c r="R29" s="1"/>
      <c r="S29" s="1" t="s">
        <v>149</v>
      </c>
      <c r="T29" s="1"/>
    </row>
    <row r="30" spans="1:20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N30" s="1"/>
      <c r="O30" s="1"/>
      <c r="P30" s="1"/>
      <c r="Q30" t="s">
        <v>8</v>
      </c>
      <c r="R30" t="s">
        <v>10</v>
      </c>
      <c r="S30" t="s">
        <v>8</v>
      </c>
      <c r="T30" t="s">
        <v>10</v>
      </c>
    </row>
    <row r="31" spans="1:20">
      <c r="A31" s="1"/>
      <c r="B31">
        <v>1</v>
      </c>
      <c r="C31" t="s">
        <v>0</v>
      </c>
      <c r="D31">
        <v>7</v>
      </c>
      <c r="E31">
        <f>D31/51</f>
        <v>0.13725490196078433</v>
      </c>
      <c r="F31">
        <v>2</v>
      </c>
      <c r="G31">
        <f>F31/D31</f>
        <v>0.2857142857142857</v>
      </c>
      <c r="H31">
        <v>5</v>
      </c>
      <c r="I31">
        <f t="shared" ref="I31:I39" si="11">H31/D31</f>
        <v>0.7142857142857143</v>
      </c>
      <c r="J31">
        <v>0</v>
      </c>
      <c r="K31">
        <f>J31/D31</f>
        <v>0</v>
      </c>
      <c r="L31">
        <v>0.03</v>
      </c>
      <c r="M31">
        <v>0</v>
      </c>
      <c r="N31">
        <f>(F31*5+H31*4+J31*3+L31*2)/D31</f>
        <v>4.2942857142857145</v>
      </c>
      <c r="O31">
        <f>239/D31</f>
        <v>34.142857142857146</v>
      </c>
      <c r="P31">
        <f t="shared" ref="P31:P37" si="12">O31/46</f>
        <v>0.74223602484472051</v>
      </c>
      <c r="Q31">
        <v>0</v>
      </c>
      <c r="R31">
        <f>Q31/D31</f>
        <v>0</v>
      </c>
      <c r="S31">
        <v>0</v>
      </c>
      <c r="T31">
        <f>S31/D31</f>
        <v>0</v>
      </c>
    </row>
    <row r="32" spans="1:20">
      <c r="A32" s="1"/>
      <c r="B32">
        <v>2</v>
      </c>
      <c r="C32" t="s">
        <v>1</v>
      </c>
      <c r="D32">
        <v>24</v>
      </c>
      <c r="E32">
        <f>D32/35</f>
        <v>0.68571428571428572</v>
      </c>
      <c r="F32">
        <v>2</v>
      </c>
      <c r="G32">
        <f t="shared" ref="G32:G39" si="13">F32/D32</f>
        <v>8.3333333333333329E-2</v>
      </c>
      <c r="H32">
        <v>12</v>
      </c>
      <c r="I32">
        <f t="shared" si="11"/>
        <v>0.5</v>
      </c>
      <c r="J32">
        <v>10</v>
      </c>
      <c r="K32">
        <f t="shared" ref="K32:K38" si="14">J32/D32</f>
        <v>0.41666666666666669</v>
      </c>
      <c r="L32">
        <v>0.03</v>
      </c>
      <c r="M32">
        <v>0</v>
      </c>
      <c r="N32">
        <f t="shared" ref="N32:N38" si="15">(F32*5+H32*4+J32*3+L32*2)/D32</f>
        <v>3.6691666666666669</v>
      </c>
      <c r="O32">
        <f>647/D32</f>
        <v>26.958333333333332</v>
      </c>
      <c r="P32">
        <f t="shared" si="12"/>
        <v>0.58605072463768115</v>
      </c>
      <c r="Q32">
        <v>0</v>
      </c>
      <c r="R32">
        <f t="shared" ref="R32:R39" si="16">Q32/D32</f>
        <v>0</v>
      </c>
      <c r="S32">
        <v>0</v>
      </c>
      <c r="T32">
        <f t="shared" ref="T32:T39" si="17">S32/D32</f>
        <v>0</v>
      </c>
    </row>
    <row r="33" spans="1:20">
      <c r="A33" s="1"/>
      <c r="B33">
        <v>3</v>
      </c>
      <c r="C33" t="s">
        <v>2</v>
      </c>
      <c r="D33">
        <v>29</v>
      </c>
      <c r="E33">
        <f>D33/97</f>
        <v>0.29896907216494845</v>
      </c>
      <c r="F33">
        <v>0</v>
      </c>
      <c r="G33">
        <f t="shared" si="13"/>
        <v>0</v>
      </c>
      <c r="H33">
        <v>11</v>
      </c>
      <c r="I33">
        <f t="shared" si="11"/>
        <v>0.37931034482758619</v>
      </c>
      <c r="J33">
        <v>18</v>
      </c>
      <c r="K33">
        <f t="shared" si="14"/>
        <v>0.62068965517241381</v>
      </c>
      <c r="L33">
        <v>0</v>
      </c>
      <c r="M33">
        <f>L33/D33</f>
        <v>0</v>
      </c>
      <c r="N33">
        <f t="shared" si="15"/>
        <v>3.3793103448275863</v>
      </c>
      <c r="O33">
        <f>707/D33</f>
        <v>24.379310344827587</v>
      </c>
      <c r="P33">
        <f t="shared" si="12"/>
        <v>0.52998500749625188</v>
      </c>
      <c r="Q33">
        <v>0</v>
      </c>
      <c r="R33">
        <f t="shared" si="16"/>
        <v>0</v>
      </c>
      <c r="S33">
        <v>0</v>
      </c>
      <c r="T33">
        <f t="shared" si="17"/>
        <v>0</v>
      </c>
    </row>
    <row r="34" spans="1:20">
      <c r="A34" s="1"/>
      <c r="B34">
        <v>4</v>
      </c>
      <c r="C34" t="s">
        <v>3</v>
      </c>
      <c r="D34">
        <v>13</v>
      </c>
      <c r="E34">
        <f>D34/52</f>
        <v>0.25</v>
      </c>
      <c r="F34">
        <v>0</v>
      </c>
      <c r="G34">
        <f t="shared" si="13"/>
        <v>0</v>
      </c>
      <c r="H34">
        <v>8</v>
      </c>
      <c r="I34">
        <f t="shared" si="11"/>
        <v>0.61538461538461542</v>
      </c>
      <c r="J34">
        <v>5</v>
      </c>
      <c r="K34">
        <f t="shared" si="14"/>
        <v>0.38461538461538464</v>
      </c>
      <c r="L34">
        <v>0</v>
      </c>
      <c r="M34">
        <f>L34/D34</f>
        <v>0</v>
      </c>
      <c r="N34">
        <f t="shared" si="15"/>
        <v>3.6153846153846154</v>
      </c>
      <c r="O34">
        <f>348/D34</f>
        <v>26.76923076923077</v>
      </c>
      <c r="P34">
        <f t="shared" si="12"/>
        <v>0.58193979933110374</v>
      </c>
      <c r="Q34">
        <v>0</v>
      </c>
      <c r="R34">
        <f t="shared" si="16"/>
        <v>0</v>
      </c>
      <c r="S34">
        <v>0</v>
      </c>
      <c r="T34">
        <f t="shared" si="17"/>
        <v>0</v>
      </c>
    </row>
    <row r="35" spans="1:20">
      <c r="A35" s="1"/>
      <c r="B35">
        <v>5</v>
      </c>
      <c r="C35" t="s">
        <v>4</v>
      </c>
      <c r="D35">
        <v>1</v>
      </c>
      <c r="E35">
        <f>D35/2</f>
        <v>0.5</v>
      </c>
      <c r="F35">
        <v>0</v>
      </c>
      <c r="G35">
        <f t="shared" si="13"/>
        <v>0</v>
      </c>
      <c r="H35">
        <v>0</v>
      </c>
      <c r="I35">
        <f t="shared" si="11"/>
        <v>0</v>
      </c>
      <c r="J35">
        <v>1</v>
      </c>
      <c r="K35">
        <f t="shared" si="14"/>
        <v>1</v>
      </c>
      <c r="L35">
        <v>0.03</v>
      </c>
      <c r="M35">
        <v>0</v>
      </c>
      <c r="N35">
        <f t="shared" si="15"/>
        <v>3.06</v>
      </c>
      <c r="O35">
        <f>22/D35</f>
        <v>22</v>
      </c>
      <c r="P35">
        <f t="shared" si="12"/>
        <v>0.47826086956521741</v>
      </c>
      <c r="Q35">
        <v>0</v>
      </c>
      <c r="R35">
        <f t="shared" si="16"/>
        <v>0</v>
      </c>
      <c r="T35">
        <f t="shared" si="17"/>
        <v>0</v>
      </c>
    </row>
    <row r="36" spans="1:20">
      <c r="A36" s="1"/>
      <c r="B36">
        <v>6</v>
      </c>
      <c r="C36" t="s">
        <v>5</v>
      </c>
      <c r="D36">
        <v>2</v>
      </c>
      <c r="E36">
        <f>D36/11</f>
        <v>0.18181818181818182</v>
      </c>
      <c r="F36">
        <v>0</v>
      </c>
      <c r="G36">
        <f t="shared" si="13"/>
        <v>0</v>
      </c>
      <c r="H36">
        <v>0</v>
      </c>
      <c r="I36">
        <f t="shared" si="11"/>
        <v>0</v>
      </c>
      <c r="J36">
        <v>2</v>
      </c>
      <c r="K36">
        <f t="shared" si="14"/>
        <v>1</v>
      </c>
      <c r="L36">
        <v>0</v>
      </c>
      <c r="M36">
        <f>L36/D36</f>
        <v>0</v>
      </c>
      <c r="N36">
        <f t="shared" si="15"/>
        <v>3</v>
      </c>
      <c r="O36">
        <f>44/D36</f>
        <v>22</v>
      </c>
      <c r="P36">
        <f t="shared" si="12"/>
        <v>0.47826086956521741</v>
      </c>
      <c r="Q36">
        <v>0</v>
      </c>
      <c r="R36">
        <f t="shared" si="16"/>
        <v>0</v>
      </c>
      <c r="S36">
        <v>0</v>
      </c>
      <c r="T36">
        <f t="shared" si="17"/>
        <v>0</v>
      </c>
    </row>
    <row r="37" spans="1:20">
      <c r="A37" s="1"/>
      <c r="B37">
        <v>7</v>
      </c>
      <c r="C37" t="s">
        <v>16</v>
      </c>
      <c r="D37">
        <v>6</v>
      </c>
      <c r="E37">
        <f>D37/7</f>
        <v>0.8571428571428571</v>
      </c>
      <c r="F37">
        <v>0</v>
      </c>
      <c r="G37">
        <f t="shared" si="13"/>
        <v>0</v>
      </c>
      <c r="H37">
        <v>0</v>
      </c>
      <c r="I37">
        <f t="shared" si="11"/>
        <v>0</v>
      </c>
      <c r="J37">
        <v>6</v>
      </c>
      <c r="K37">
        <f t="shared" si="14"/>
        <v>1</v>
      </c>
      <c r="L37">
        <v>0.03</v>
      </c>
      <c r="M37">
        <v>0</v>
      </c>
      <c r="N37">
        <f t="shared" si="15"/>
        <v>3.01</v>
      </c>
      <c r="O37">
        <f>126/D37</f>
        <v>21</v>
      </c>
      <c r="P37">
        <f t="shared" si="12"/>
        <v>0.45652173913043476</v>
      </c>
      <c r="Q37">
        <v>0</v>
      </c>
      <c r="R37">
        <f t="shared" si="16"/>
        <v>0</v>
      </c>
      <c r="T37">
        <f t="shared" si="17"/>
        <v>0</v>
      </c>
    </row>
    <row r="38" spans="1:20">
      <c r="A38" s="1"/>
      <c r="B38">
        <v>8</v>
      </c>
      <c r="C38" t="s">
        <v>17</v>
      </c>
      <c r="D38">
        <v>3</v>
      </c>
      <c r="E38">
        <f>D38/3</f>
        <v>1</v>
      </c>
      <c r="F38">
        <v>0</v>
      </c>
      <c r="G38">
        <f t="shared" si="13"/>
        <v>0</v>
      </c>
      <c r="H38">
        <v>0</v>
      </c>
      <c r="I38">
        <f t="shared" si="11"/>
        <v>0</v>
      </c>
      <c r="J38">
        <v>3</v>
      </c>
      <c r="K38">
        <f t="shared" si="14"/>
        <v>1</v>
      </c>
      <c r="L38">
        <v>0.03</v>
      </c>
      <c r="M38">
        <v>0</v>
      </c>
      <c r="N38">
        <f t="shared" si="15"/>
        <v>3.02</v>
      </c>
      <c r="O38">
        <f>57/D38</f>
        <v>19</v>
      </c>
      <c r="P38">
        <v>0</v>
      </c>
      <c r="Q38">
        <v>0</v>
      </c>
      <c r="R38">
        <f t="shared" si="16"/>
        <v>0</v>
      </c>
      <c r="T38">
        <f t="shared" si="17"/>
        <v>0</v>
      </c>
    </row>
    <row r="39" spans="1:20">
      <c r="A39" s="1"/>
      <c r="C39" t="s">
        <v>6</v>
      </c>
      <c r="D39">
        <f>SUM(D31:D38)</f>
        <v>85</v>
      </c>
      <c r="E39">
        <f>D39/260</f>
        <v>0.32692307692307693</v>
      </c>
      <c r="F39">
        <f>SUM(F31:F38)</f>
        <v>4</v>
      </c>
      <c r="G39">
        <f t="shared" si="13"/>
        <v>4.7058823529411764E-2</v>
      </c>
      <c r="H39">
        <f>SUM(H31:H38)</f>
        <v>36</v>
      </c>
      <c r="I39">
        <f t="shared" si="11"/>
        <v>0.42352941176470588</v>
      </c>
      <c r="J39">
        <f>SUM(J31:J38)</f>
        <v>45</v>
      </c>
      <c r="K39">
        <f>J39/D39</f>
        <v>0.52941176470588236</v>
      </c>
      <c r="L39">
        <f>SUM(L31:L38)</f>
        <v>0.15</v>
      </c>
      <c r="M39">
        <v>0</v>
      </c>
      <c r="N39">
        <f>(F39*5+H39*4+J39*3+L39*2)/D39</f>
        <v>3.5211764705882356</v>
      </c>
      <c r="O39">
        <f>2190/D39</f>
        <v>25.764705882352942</v>
      </c>
      <c r="P39">
        <f>2190/(D39*46)</f>
        <v>0.56010230179028131</v>
      </c>
      <c r="Q39">
        <f>Q31+Q32+Q33+Q34+Q35+Q36+Q37+Q38</f>
        <v>0</v>
      </c>
      <c r="R39">
        <f t="shared" si="16"/>
        <v>0</v>
      </c>
      <c r="S39">
        <f>SUM(S31:S38)</f>
        <v>0</v>
      </c>
      <c r="T39">
        <f t="shared" si="17"/>
        <v>0</v>
      </c>
    </row>
    <row r="40" spans="1:20">
      <c r="A40" s="1"/>
      <c r="C40" t="s">
        <v>21</v>
      </c>
    </row>
    <row r="41" spans="1:20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N41" s="1" t="s">
        <v>24</v>
      </c>
      <c r="O41" s="1" t="s">
        <v>14</v>
      </c>
      <c r="P41" s="1" t="s">
        <v>41</v>
      </c>
      <c r="Q41" s="1" t="s">
        <v>126</v>
      </c>
      <c r="R41" s="1"/>
      <c r="S41" s="1" t="s">
        <v>149</v>
      </c>
      <c r="T41" s="1"/>
    </row>
    <row r="42" spans="1:20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N42" s="1"/>
      <c r="O42" s="1"/>
      <c r="P42" s="1"/>
      <c r="Q42" t="s">
        <v>8</v>
      </c>
      <c r="R42" t="s">
        <v>10</v>
      </c>
      <c r="S42" t="s">
        <v>8</v>
      </c>
      <c r="T42" t="s">
        <v>10</v>
      </c>
    </row>
    <row r="43" spans="1:20">
      <c r="A43" s="1"/>
      <c r="B43">
        <v>1</v>
      </c>
      <c r="C43" t="s">
        <v>0</v>
      </c>
      <c r="D43">
        <v>17</v>
      </c>
      <c r="E43">
        <f>D43/53</f>
        <v>0.32075471698113206</v>
      </c>
      <c r="F43">
        <v>2</v>
      </c>
      <c r="G43">
        <f>F43/D43</f>
        <v>0.11764705882352941</v>
      </c>
      <c r="H43">
        <v>12</v>
      </c>
      <c r="I43">
        <f>H43/D43</f>
        <v>0.70588235294117652</v>
      </c>
      <c r="J43">
        <v>3</v>
      </c>
      <c r="K43">
        <f>J43/D43</f>
        <v>0.17647058823529413</v>
      </c>
      <c r="L43">
        <v>0.03</v>
      </c>
      <c r="M43">
        <v>0</v>
      </c>
      <c r="N43">
        <f>(F43*5+H43*4+J43*3+L43*2)/D43</f>
        <v>3.9447058823529413</v>
      </c>
      <c r="O43">
        <f>(26+32+39+31+32+21+33+32+29+28+29+29+37+23+23+28+26)/D43</f>
        <v>29.294117647058822</v>
      </c>
      <c r="P43">
        <f>O43/46</f>
        <v>0.63682864450127874</v>
      </c>
      <c r="Q43">
        <v>0</v>
      </c>
      <c r="R43">
        <f>Q43/D43</f>
        <v>0</v>
      </c>
      <c r="S43">
        <v>0</v>
      </c>
      <c r="T43">
        <f>S43/D43</f>
        <v>0</v>
      </c>
    </row>
    <row r="44" spans="1:20">
      <c r="A44" s="1"/>
      <c r="B44">
        <v>2</v>
      </c>
      <c r="C44" t="s">
        <v>1</v>
      </c>
      <c r="D44">
        <v>20</v>
      </c>
      <c r="E44">
        <f>D44/45</f>
        <v>0.44444444444444442</v>
      </c>
      <c r="F44">
        <v>2</v>
      </c>
      <c r="G44">
        <f t="shared" ref="G44:G51" si="18">F44/D44</f>
        <v>0.1</v>
      </c>
      <c r="H44">
        <v>8</v>
      </c>
      <c r="I44">
        <f t="shared" ref="I44:I51" si="19">H44/D44</f>
        <v>0.4</v>
      </c>
      <c r="J44">
        <v>10</v>
      </c>
      <c r="K44">
        <f t="shared" ref="K44:K50" si="20">J44/D44</f>
        <v>0.5</v>
      </c>
      <c r="L44">
        <v>0.03</v>
      </c>
      <c r="M44">
        <v>0</v>
      </c>
      <c r="N44">
        <f t="shared" ref="N44:N50" si="21">(F44*5+H44*4+J44*3+L44*2)/D44</f>
        <v>3.6030000000000002</v>
      </c>
      <c r="O44">
        <f>(22+27+31+25+30+25+18+21+18+25+39+32+27+30+25+15+26+17+37+28)/D44</f>
        <v>25.9</v>
      </c>
      <c r="P44">
        <f>O44/46</f>
        <v>0.56304347826086953</v>
      </c>
      <c r="Q44">
        <v>0</v>
      </c>
      <c r="R44">
        <f t="shared" ref="R44:R51" si="22">Q44/D44</f>
        <v>0</v>
      </c>
      <c r="S44">
        <v>0</v>
      </c>
      <c r="T44">
        <f t="shared" ref="T44:T51" si="23">S44/D44</f>
        <v>0</v>
      </c>
    </row>
    <row r="45" spans="1:20">
      <c r="A45" s="1"/>
      <c r="B45">
        <v>3</v>
      </c>
      <c r="C45" t="s">
        <v>2</v>
      </c>
      <c r="D45">
        <v>31</v>
      </c>
      <c r="E45">
        <f>D45/103</f>
        <v>0.30097087378640774</v>
      </c>
      <c r="F45">
        <v>1</v>
      </c>
      <c r="G45">
        <f t="shared" si="18"/>
        <v>3.2258064516129031E-2</v>
      </c>
      <c r="H45">
        <v>16</v>
      </c>
      <c r="I45">
        <f t="shared" si="19"/>
        <v>0.5161290322580645</v>
      </c>
      <c r="J45">
        <v>14</v>
      </c>
      <c r="K45">
        <f t="shared" si="20"/>
        <v>0.45161290322580644</v>
      </c>
      <c r="L45">
        <v>0</v>
      </c>
      <c r="M45">
        <f>L45/D45</f>
        <v>0</v>
      </c>
      <c r="N45">
        <f t="shared" si="21"/>
        <v>3.5806451612903225</v>
      </c>
      <c r="O45">
        <f>(15+29+24+21+29+13+21+26+31+31+29+26+30+39+28+29+25+34+24+28+22+22+24+24+15+27+30+19+30+18+31)/D45</f>
        <v>25.612903225806452</v>
      </c>
      <c r="P45">
        <f>O45/46</f>
        <v>0.5568022440392707</v>
      </c>
      <c r="Q45">
        <v>0</v>
      </c>
      <c r="R45">
        <f t="shared" si="22"/>
        <v>0</v>
      </c>
      <c r="S45">
        <v>0</v>
      </c>
      <c r="T45">
        <f t="shared" si="23"/>
        <v>0</v>
      </c>
    </row>
    <row r="46" spans="1:20">
      <c r="A46" s="1"/>
      <c r="B46">
        <v>4</v>
      </c>
      <c r="C46" t="s">
        <v>3</v>
      </c>
      <c r="D46">
        <v>22</v>
      </c>
      <c r="E46">
        <f>D46/42</f>
        <v>0.52380952380952384</v>
      </c>
      <c r="F46">
        <v>2</v>
      </c>
      <c r="G46">
        <f t="shared" si="18"/>
        <v>9.0909090909090912E-2</v>
      </c>
      <c r="H46">
        <v>8</v>
      </c>
      <c r="I46">
        <f>H46/D46</f>
        <v>0.36363636363636365</v>
      </c>
      <c r="J46">
        <v>12</v>
      </c>
      <c r="K46">
        <f t="shared" si="20"/>
        <v>0.54545454545454541</v>
      </c>
      <c r="L46">
        <v>0</v>
      </c>
      <c r="M46">
        <f>L46/D46</f>
        <v>0</v>
      </c>
      <c r="N46">
        <f t="shared" si="21"/>
        <v>3.5454545454545454</v>
      </c>
      <c r="O46">
        <f>(32+19+24+33+26+27+42+25+20+24+15+24+20+22+31+25+29+19+26+28+38+15)/D46</f>
        <v>25.636363636363637</v>
      </c>
      <c r="P46">
        <f>O46/46</f>
        <v>0.55731225296442688</v>
      </c>
      <c r="Q46">
        <v>0</v>
      </c>
      <c r="R46">
        <f t="shared" si="22"/>
        <v>0</v>
      </c>
      <c r="S46">
        <v>0</v>
      </c>
      <c r="T46">
        <f t="shared" si="23"/>
        <v>0</v>
      </c>
    </row>
    <row r="47" spans="1:20">
      <c r="A47" s="1"/>
      <c r="B47">
        <v>5</v>
      </c>
      <c r="C47" t="s">
        <v>4</v>
      </c>
      <c r="D47">
        <v>3</v>
      </c>
      <c r="E47">
        <f>D47/5</f>
        <v>0.6</v>
      </c>
      <c r="F47">
        <v>0</v>
      </c>
      <c r="G47">
        <f t="shared" si="18"/>
        <v>0</v>
      </c>
      <c r="H47">
        <v>1</v>
      </c>
      <c r="I47">
        <f t="shared" si="19"/>
        <v>0.33333333333333331</v>
      </c>
      <c r="J47">
        <v>2</v>
      </c>
      <c r="K47">
        <f t="shared" si="20"/>
        <v>0.66666666666666663</v>
      </c>
      <c r="L47">
        <v>0.03</v>
      </c>
      <c r="M47">
        <v>0</v>
      </c>
      <c r="N47">
        <f t="shared" si="21"/>
        <v>3.3533333333333335</v>
      </c>
      <c r="O47">
        <f>75/D47</f>
        <v>25</v>
      </c>
      <c r="P47">
        <f>O47/46</f>
        <v>0.54347826086956519</v>
      </c>
      <c r="R47">
        <f t="shared" si="22"/>
        <v>0</v>
      </c>
      <c r="T47">
        <f t="shared" si="23"/>
        <v>0</v>
      </c>
    </row>
    <row r="48" spans="1:20">
      <c r="A48" s="1"/>
      <c r="B48">
        <v>6</v>
      </c>
      <c r="C48" t="s">
        <v>5</v>
      </c>
      <c r="D48">
        <v>0</v>
      </c>
      <c r="E48">
        <f>D48/8</f>
        <v>0</v>
      </c>
      <c r="F48">
        <v>0</v>
      </c>
      <c r="G48" t="e">
        <f t="shared" si="18"/>
        <v>#DIV/0!</v>
      </c>
      <c r="H48">
        <v>0</v>
      </c>
      <c r="I48" t="e">
        <f t="shared" si="19"/>
        <v>#DIV/0!</v>
      </c>
      <c r="J48">
        <v>0</v>
      </c>
      <c r="K48" t="e">
        <f t="shared" si="20"/>
        <v>#DIV/0!</v>
      </c>
      <c r="L48">
        <v>0</v>
      </c>
      <c r="M48" t="e">
        <f>L48/D48</f>
        <v>#DIV/0!</v>
      </c>
      <c r="N48" t="e">
        <f t="shared" si="21"/>
        <v>#DIV/0!</v>
      </c>
      <c r="O48">
        <v>0</v>
      </c>
      <c r="P48">
        <v>0</v>
      </c>
      <c r="R48" t="e">
        <f t="shared" si="22"/>
        <v>#DIV/0!</v>
      </c>
      <c r="T48" t="e">
        <f t="shared" si="23"/>
        <v>#DIV/0!</v>
      </c>
    </row>
    <row r="49" spans="1:20">
      <c r="A49" s="1"/>
      <c r="B49">
        <v>7</v>
      </c>
      <c r="C49" t="s">
        <v>16</v>
      </c>
      <c r="D49">
        <v>2</v>
      </c>
      <c r="E49">
        <f>D49/2</f>
        <v>1</v>
      </c>
      <c r="F49">
        <v>0</v>
      </c>
      <c r="G49">
        <f t="shared" si="18"/>
        <v>0</v>
      </c>
      <c r="H49">
        <v>2</v>
      </c>
      <c r="I49">
        <f t="shared" si="19"/>
        <v>1</v>
      </c>
      <c r="J49">
        <v>0</v>
      </c>
      <c r="K49">
        <f t="shared" si="20"/>
        <v>0</v>
      </c>
      <c r="L49">
        <v>0.03</v>
      </c>
      <c r="M49">
        <v>0</v>
      </c>
      <c r="N49">
        <f t="shared" si="21"/>
        <v>4.03</v>
      </c>
      <c r="O49">
        <f>(30+26)/D49</f>
        <v>28</v>
      </c>
      <c r="P49">
        <f>O49/46</f>
        <v>0.60869565217391308</v>
      </c>
      <c r="R49">
        <f t="shared" si="22"/>
        <v>0</v>
      </c>
      <c r="T49">
        <f t="shared" si="23"/>
        <v>0</v>
      </c>
    </row>
    <row r="50" spans="1:20">
      <c r="A50" s="1"/>
      <c r="B50">
        <v>8</v>
      </c>
      <c r="C50" t="s">
        <v>17</v>
      </c>
      <c r="D50">
        <v>4</v>
      </c>
      <c r="E50">
        <f>D50/4</f>
        <v>1</v>
      </c>
      <c r="F50">
        <v>0</v>
      </c>
      <c r="G50">
        <f t="shared" si="18"/>
        <v>0</v>
      </c>
      <c r="H50">
        <v>0</v>
      </c>
      <c r="I50">
        <f t="shared" si="19"/>
        <v>0</v>
      </c>
      <c r="J50">
        <v>4</v>
      </c>
      <c r="K50">
        <f t="shared" si="20"/>
        <v>1</v>
      </c>
      <c r="L50">
        <v>0.03</v>
      </c>
      <c r="M50">
        <v>0</v>
      </c>
      <c r="N50">
        <f t="shared" si="21"/>
        <v>3.0150000000000001</v>
      </c>
      <c r="O50">
        <f>83/D50</f>
        <v>20.75</v>
      </c>
      <c r="P50">
        <v>0</v>
      </c>
      <c r="Q50">
        <v>0</v>
      </c>
      <c r="R50">
        <f t="shared" si="22"/>
        <v>0</v>
      </c>
      <c r="T50">
        <f t="shared" si="23"/>
        <v>0</v>
      </c>
    </row>
    <row r="51" spans="1:20">
      <c r="A51" s="1"/>
      <c r="C51" t="s">
        <v>6</v>
      </c>
      <c r="D51">
        <f>SUM(D43:D50)</f>
        <v>99</v>
      </c>
      <c r="E51">
        <f>D51/243</f>
        <v>0.40740740740740738</v>
      </c>
      <c r="F51">
        <f>SUM(F43:F50)</f>
        <v>7</v>
      </c>
      <c r="G51">
        <f t="shared" si="18"/>
        <v>7.0707070707070704E-2</v>
      </c>
      <c r="H51">
        <f>SUM(H43:H50)</f>
        <v>47</v>
      </c>
      <c r="I51">
        <f t="shared" si="19"/>
        <v>0.47474747474747475</v>
      </c>
      <c r="J51">
        <f>SUM(J43:J50)</f>
        <v>45</v>
      </c>
      <c r="K51">
        <f>J51/D51</f>
        <v>0.45454545454545453</v>
      </c>
      <c r="L51">
        <f>SUM(L43:L50)</f>
        <v>0.15</v>
      </c>
      <c r="M51">
        <v>0</v>
      </c>
      <c r="N51">
        <f>(F51*5+H51*4+J51*3+L51*2)/D51</f>
        <v>3.6191919191919193</v>
      </c>
      <c r="O51">
        <f>(498+518+794+564+75+139)/D51</f>
        <v>26.141414141414142</v>
      </c>
      <c r="P51">
        <f>2588/(D51*46)</f>
        <v>0.56829161176987264</v>
      </c>
      <c r="Q51">
        <v>0</v>
      </c>
      <c r="R51">
        <f t="shared" si="22"/>
        <v>0</v>
      </c>
      <c r="S51">
        <f>SUM(S43:S50)</f>
        <v>0</v>
      </c>
      <c r="T51">
        <f t="shared" si="23"/>
        <v>0</v>
      </c>
    </row>
    <row r="52" spans="1:20">
      <c r="A52" s="1"/>
      <c r="C52" t="s">
        <v>21</v>
      </c>
    </row>
  </sheetData>
  <mergeCells count="47">
    <mergeCell ref="Q2:R2"/>
    <mergeCell ref="S2:T2"/>
    <mergeCell ref="B1:P1"/>
    <mergeCell ref="A2:A13"/>
    <mergeCell ref="D2:E2"/>
    <mergeCell ref="F2:G2"/>
    <mergeCell ref="H2:I2"/>
    <mergeCell ref="J2:K2"/>
    <mergeCell ref="L2:M2"/>
    <mergeCell ref="N2:N3"/>
    <mergeCell ref="O2:O3"/>
    <mergeCell ref="P2:P3"/>
    <mergeCell ref="Q15:R15"/>
    <mergeCell ref="S15:T15"/>
    <mergeCell ref="A15:A26"/>
    <mergeCell ref="D15:E15"/>
    <mergeCell ref="F15:G15"/>
    <mergeCell ref="H15:I15"/>
    <mergeCell ref="J15:K15"/>
    <mergeCell ref="L15:M15"/>
    <mergeCell ref="B14:P14"/>
    <mergeCell ref="N15:N16"/>
    <mergeCell ref="O15:O16"/>
    <mergeCell ref="P15:P16"/>
    <mergeCell ref="O29:O30"/>
    <mergeCell ref="P29:P30"/>
    <mergeCell ref="B28:P28"/>
    <mergeCell ref="A29:A40"/>
    <mergeCell ref="A41:A52"/>
    <mergeCell ref="D29:E29"/>
    <mergeCell ref="F29:G29"/>
    <mergeCell ref="H29:I29"/>
    <mergeCell ref="D41:E41"/>
    <mergeCell ref="F41:G41"/>
    <mergeCell ref="H41:I41"/>
    <mergeCell ref="S29:T29"/>
    <mergeCell ref="S41:T41"/>
    <mergeCell ref="J29:K29"/>
    <mergeCell ref="P41:P42"/>
    <mergeCell ref="N29:N30"/>
    <mergeCell ref="Q41:R41"/>
    <mergeCell ref="Q29:R29"/>
    <mergeCell ref="L41:M41"/>
    <mergeCell ref="L29:M29"/>
    <mergeCell ref="O41:O42"/>
    <mergeCell ref="J41:K41"/>
    <mergeCell ref="N41:N42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2"/>
  <sheetViews>
    <sheetView view="pageBreakPreview" topLeftCell="A4" zoomScale="60" workbookViewId="0">
      <selection activeCell="C10" sqref="C10"/>
    </sheetView>
  </sheetViews>
  <sheetFormatPr defaultRowHeight="15"/>
  <cols>
    <col min="2" max="2" width="3.7109375" customWidth="1"/>
    <col min="3" max="3" width="10.42578125" customWidth="1"/>
    <col min="4" max="4" width="4" customWidth="1"/>
    <col min="6" max="6" width="3.7109375" customWidth="1"/>
    <col min="8" max="8" width="3.5703125" customWidth="1"/>
    <col min="10" max="10" width="3.42578125" customWidth="1"/>
    <col min="12" max="12" width="3.7109375" customWidth="1"/>
    <col min="14" max="14" width="4.42578125" customWidth="1"/>
    <col min="15" max="15" width="8.42578125" customWidth="1"/>
    <col min="16" max="16" width="5.85546875" customWidth="1"/>
    <col min="17" max="17" width="6.7109375" customWidth="1"/>
    <col min="18" max="18" width="7.42578125" customWidth="1"/>
    <col min="19" max="19" width="3.7109375" customWidth="1"/>
    <col min="20" max="20" width="8.5703125" customWidth="1"/>
    <col min="21" max="21" width="3.42578125" customWidth="1"/>
    <col min="22" max="22" width="9.28515625" customWidth="1"/>
  </cols>
  <sheetData>
    <row r="1" spans="1:22">
      <c r="B1" s="1" t="s">
        <v>207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1.5" customHeight="1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212</v>
      </c>
      <c r="M2" s="1"/>
      <c r="N2" s="1" t="s">
        <v>176</v>
      </c>
      <c r="O2" s="1"/>
      <c r="P2" s="1" t="s">
        <v>24</v>
      </c>
      <c r="Q2" s="1" t="s">
        <v>14</v>
      </c>
      <c r="R2" s="1" t="s">
        <v>205</v>
      </c>
      <c r="S2" s="1" t="s">
        <v>220</v>
      </c>
      <c r="T2" s="1"/>
      <c r="U2" s="1" t="s">
        <v>181</v>
      </c>
      <c r="V2" s="1"/>
    </row>
    <row r="3" spans="1:22" ht="64.5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t="s">
        <v>8</v>
      </c>
      <c r="O3" t="s">
        <v>10</v>
      </c>
      <c r="P3" s="1"/>
      <c r="Q3" s="1"/>
      <c r="R3" s="1"/>
      <c r="S3" t="s">
        <v>8</v>
      </c>
      <c r="T3" t="s">
        <v>10</v>
      </c>
      <c r="U3" t="s">
        <v>8</v>
      </c>
      <c r="V3" t="s">
        <v>10</v>
      </c>
    </row>
    <row r="4" spans="1:22" ht="21.75" customHeight="1">
      <c r="A4" s="1"/>
      <c r="B4">
        <v>1</v>
      </c>
      <c r="C4" t="s">
        <v>0</v>
      </c>
      <c r="D4">
        <v>0</v>
      </c>
      <c r="E4">
        <f>D4/43</f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>
      <c r="A5" s="1"/>
      <c r="B5">
        <v>2</v>
      </c>
      <c r="C5" t="s">
        <v>1</v>
      </c>
      <c r="D5">
        <v>9</v>
      </c>
      <c r="E5">
        <f>D5/46</f>
        <v>0.19565217391304349</v>
      </c>
      <c r="F5">
        <v>6</v>
      </c>
      <c r="G5">
        <f>F5/D5</f>
        <v>0.66666666666666663</v>
      </c>
      <c r="H5">
        <v>3</v>
      </c>
      <c r="I5">
        <f>H5/D5</f>
        <v>0.33333333333333331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4.66</v>
      </c>
      <c r="Q5">
        <v>26.22</v>
      </c>
      <c r="R5">
        <v>0.84</v>
      </c>
      <c r="S5">
        <v>2</v>
      </c>
      <c r="T5">
        <v>0.22</v>
      </c>
      <c r="U5">
        <v>0</v>
      </c>
      <c r="V5">
        <v>0</v>
      </c>
    </row>
    <row r="6" spans="1:22">
      <c r="A6" s="1"/>
      <c r="B6">
        <v>3</v>
      </c>
      <c r="C6" t="s">
        <v>2</v>
      </c>
      <c r="D6">
        <v>31</v>
      </c>
      <c r="E6">
        <f>D6/86</f>
        <v>0.36046511627906974</v>
      </c>
      <c r="F6">
        <v>3</v>
      </c>
      <c r="G6">
        <f>F6/D6</f>
        <v>9.6774193548387094E-2</v>
      </c>
      <c r="H6">
        <v>15</v>
      </c>
      <c r="I6">
        <f t="shared" ref="I6:I12" si="0">H6/D6</f>
        <v>0.4838709677419355</v>
      </c>
      <c r="J6">
        <v>13</v>
      </c>
      <c r="K6">
        <f t="shared" ref="K6:K12" si="1">J6/D6</f>
        <v>0.41935483870967744</v>
      </c>
      <c r="L6">
        <v>0</v>
      </c>
      <c r="M6">
        <f t="shared" ref="M6:M12" si="2">L6/D6</f>
        <v>0</v>
      </c>
      <c r="N6">
        <v>0</v>
      </c>
      <c r="O6">
        <f t="shared" ref="O6:O12" si="3">N6/D6</f>
        <v>0</v>
      </c>
      <c r="P6">
        <v>3.67</v>
      </c>
      <c r="Q6">
        <v>19.670000000000002</v>
      </c>
      <c r="R6">
        <v>0.63</v>
      </c>
      <c r="S6">
        <v>0</v>
      </c>
      <c r="T6">
        <v>0</v>
      </c>
      <c r="U6">
        <v>0</v>
      </c>
      <c r="V6">
        <f>U6/D6</f>
        <v>0</v>
      </c>
    </row>
    <row r="7" spans="1:22">
      <c r="A7" s="1"/>
      <c r="B7">
        <v>4</v>
      </c>
      <c r="C7" t="s">
        <v>3</v>
      </c>
      <c r="D7">
        <v>8</v>
      </c>
      <c r="E7">
        <f>D7/69</f>
        <v>0.11594202898550725</v>
      </c>
      <c r="F7">
        <v>1</v>
      </c>
      <c r="G7">
        <f>F7/D7</f>
        <v>0.125</v>
      </c>
      <c r="H7">
        <v>3</v>
      </c>
      <c r="I7">
        <f t="shared" si="0"/>
        <v>0.375</v>
      </c>
      <c r="J7">
        <v>3</v>
      </c>
      <c r="K7">
        <f t="shared" si="1"/>
        <v>0.375</v>
      </c>
      <c r="L7">
        <v>1</v>
      </c>
      <c r="M7">
        <f t="shared" si="2"/>
        <v>0.125</v>
      </c>
      <c r="N7">
        <v>0</v>
      </c>
      <c r="O7">
        <f t="shared" si="3"/>
        <v>0</v>
      </c>
      <c r="P7">
        <v>3.5</v>
      </c>
      <c r="Q7">
        <v>18.75</v>
      </c>
      <c r="R7">
        <v>0.6</v>
      </c>
      <c r="S7">
        <v>0</v>
      </c>
      <c r="T7">
        <f>S7/D7</f>
        <v>0</v>
      </c>
      <c r="U7">
        <v>0</v>
      </c>
      <c r="V7">
        <f>U7/D7</f>
        <v>0</v>
      </c>
    </row>
    <row r="8" spans="1:22">
      <c r="A8" s="1"/>
      <c r="B8">
        <v>5</v>
      </c>
      <c r="C8" t="s">
        <v>4</v>
      </c>
      <c r="D8">
        <v>0</v>
      </c>
      <c r="E8">
        <f>D8/6</f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>
      <c r="A9" s="1"/>
      <c r="B9">
        <v>6</v>
      </c>
      <c r="C9" t="s">
        <v>5</v>
      </c>
      <c r="D9">
        <v>7</v>
      </c>
      <c r="E9">
        <f>D9/13</f>
        <v>0.53846153846153844</v>
      </c>
      <c r="F9">
        <v>0</v>
      </c>
      <c r="G9">
        <f>F9/D9</f>
        <v>0</v>
      </c>
      <c r="H9">
        <v>1</v>
      </c>
      <c r="I9">
        <f t="shared" si="0"/>
        <v>0.14285714285714285</v>
      </c>
      <c r="J9">
        <v>2</v>
      </c>
      <c r="K9">
        <f t="shared" si="1"/>
        <v>0.2857142857142857</v>
      </c>
      <c r="L9">
        <v>4</v>
      </c>
      <c r="M9">
        <f t="shared" si="2"/>
        <v>0.5714285714285714</v>
      </c>
      <c r="N9">
        <v>0</v>
      </c>
      <c r="O9">
        <v>0</v>
      </c>
      <c r="P9">
        <v>2.57</v>
      </c>
      <c r="Q9">
        <f>81/D9</f>
        <v>11.571428571428571</v>
      </c>
      <c r="R9">
        <v>0.37</v>
      </c>
      <c r="S9">
        <v>0</v>
      </c>
      <c r="T9">
        <f>S9/D9</f>
        <v>0</v>
      </c>
      <c r="U9">
        <v>0</v>
      </c>
      <c r="V9">
        <f>U9/D9</f>
        <v>0</v>
      </c>
    </row>
    <row r="10" spans="1:22">
      <c r="A10" s="1"/>
      <c r="B10">
        <v>7</v>
      </c>
      <c r="C10" t="s">
        <v>16</v>
      </c>
      <c r="D10">
        <v>6</v>
      </c>
      <c r="E10">
        <f>D10/6</f>
        <v>1</v>
      </c>
      <c r="F10">
        <v>0</v>
      </c>
      <c r="G10">
        <f>F10/D10</f>
        <v>0</v>
      </c>
      <c r="H10">
        <v>2</v>
      </c>
      <c r="I10">
        <f t="shared" si="0"/>
        <v>0.33333333333333331</v>
      </c>
      <c r="J10">
        <v>3</v>
      </c>
      <c r="K10">
        <f t="shared" si="1"/>
        <v>0.5</v>
      </c>
      <c r="L10">
        <v>1</v>
      </c>
      <c r="M10">
        <f t="shared" si="2"/>
        <v>0.16666666666666666</v>
      </c>
      <c r="N10">
        <v>0</v>
      </c>
      <c r="O10">
        <f t="shared" si="3"/>
        <v>0</v>
      </c>
      <c r="P10">
        <v>3.16</v>
      </c>
      <c r="Q10">
        <f>93/D10</f>
        <v>15.5</v>
      </c>
      <c r="R10">
        <v>0.5</v>
      </c>
      <c r="S10">
        <v>0</v>
      </c>
      <c r="T10">
        <f>S10/D10</f>
        <v>0</v>
      </c>
      <c r="U10">
        <v>0</v>
      </c>
      <c r="V10">
        <f>U10/D10</f>
        <v>0</v>
      </c>
    </row>
    <row r="11" spans="1:22">
      <c r="A11" s="1"/>
      <c r="B11">
        <v>8</v>
      </c>
      <c r="C11" t="s">
        <v>17</v>
      </c>
      <c r="D11">
        <v>0</v>
      </c>
      <c r="E11">
        <f>D11/5</f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>
      <c r="A12" s="1"/>
      <c r="C12" t="s">
        <v>6</v>
      </c>
      <c r="D12">
        <f>SUM(D4:D11)</f>
        <v>61</v>
      </c>
      <c r="E12">
        <f>D12/283</f>
        <v>0.21554770318021202</v>
      </c>
      <c r="F12">
        <f>SUM(F4:F11)</f>
        <v>10</v>
      </c>
      <c r="G12">
        <f>F12/D12</f>
        <v>0.16393442622950818</v>
      </c>
      <c r="H12">
        <f>SUM(H4:H11)</f>
        <v>24</v>
      </c>
      <c r="I12">
        <f t="shared" si="0"/>
        <v>0.39344262295081966</v>
      </c>
      <c r="J12">
        <f>SUM(J4:J11)</f>
        <v>21</v>
      </c>
      <c r="K12">
        <f t="shared" si="1"/>
        <v>0.34426229508196721</v>
      </c>
      <c r="L12">
        <f>SUM(L4:L11)</f>
        <v>6</v>
      </c>
      <c r="M12">
        <f t="shared" si="2"/>
        <v>9.8360655737704916E-2</v>
      </c>
      <c r="N12">
        <f>SUM(N4:N11)</f>
        <v>0</v>
      </c>
      <c r="O12">
        <f t="shared" si="3"/>
        <v>0</v>
      </c>
      <c r="P12">
        <v>3.62</v>
      </c>
      <c r="Q12">
        <v>19.18</v>
      </c>
      <c r="R12">
        <v>0.61</v>
      </c>
      <c r="S12">
        <f>SUM(S4:S11)</f>
        <v>2</v>
      </c>
      <c r="T12">
        <v>0.03</v>
      </c>
      <c r="U12">
        <f>SUM(U4:U11)</f>
        <v>0</v>
      </c>
      <c r="V12">
        <f>U12/D12</f>
        <v>0</v>
      </c>
    </row>
    <row r="13" spans="1:22">
      <c r="A13" s="1"/>
      <c r="C13" t="s">
        <v>21</v>
      </c>
    </row>
    <row r="14" spans="1:22">
      <c r="B14" s="1" t="s">
        <v>166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176</v>
      </c>
      <c r="O15" s="1"/>
      <c r="P15" s="1" t="s">
        <v>24</v>
      </c>
      <c r="Q15" s="1" t="s">
        <v>14</v>
      </c>
      <c r="R15" s="1" t="s">
        <v>45</v>
      </c>
      <c r="S15" s="1" t="s">
        <v>40</v>
      </c>
      <c r="T15" s="1"/>
      <c r="U15" s="1" t="s">
        <v>46</v>
      </c>
      <c r="V15" s="1"/>
    </row>
    <row r="16" spans="1:22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t="s">
        <v>8</v>
      </c>
      <c r="O16" t="s">
        <v>10</v>
      </c>
      <c r="P16" s="1"/>
      <c r="Q16" s="1"/>
      <c r="R16" s="1"/>
      <c r="S16" t="s">
        <v>8</v>
      </c>
      <c r="T16" t="s">
        <v>10</v>
      </c>
      <c r="U16" t="s">
        <v>8</v>
      </c>
      <c r="V16" t="s">
        <v>10</v>
      </c>
    </row>
    <row r="17" spans="1:22">
      <c r="A17" s="1"/>
      <c r="B17">
        <v>1</v>
      </c>
      <c r="C17" t="s">
        <v>0</v>
      </c>
      <c r="D17">
        <v>17</v>
      </c>
      <c r="E17">
        <f>D17/43</f>
        <v>0.39534883720930231</v>
      </c>
      <c r="F17">
        <v>4</v>
      </c>
      <c r="G17">
        <f>F17/D17</f>
        <v>0.23529411764705882</v>
      </c>
      <c r="H17">
        <v>11</v>
      </c>
      <c r="I17">
        <f>H17/D17</f>
        <v>0.6470588235294118</v>
      </c>
      <c r="J17">
        <v>2</v>
      </c>
      <c r="K17">
        <f>J17/D17</f>
        <v>0.11764705882352941</v>
      </c>
      <c r="L17">
        <v>0</v>
      </c>
      <c r="M17">
        <f>L17/D17</f>
        <v>0</v>
      </c>
      <c r="O17">
        <f>N17/D17</f>
        <v>0</v>
      </c>
      <c r="P17">
        <f>(F17*5+H17*4+J17*3+N17*2)/D17</f>
        <v>4.117647058823529</v>
      </c>
      <c r="Q17">
        <f>408/D17</f>
        <v>24</v>
      </c>
      <c r="R17">
        <f t="shared" ref="R17:R23" si="4">Q17/32</f>
        <v>0.75</v>
      </c>
      <c r="S17">
        <v>1</v>
      </c>
      <c r="T17">
        <f>S17/D17</f>
        <v>5.8823529411764705E-2</v>
      </c>
      <c r="U17">
        <v>0</v>
      </c>
      <c r="V17">
        <f>U17/D17</f>
        <v>0</v>
      </c>
    </row>
    <row r="18" spans="1:22">
      <c r="A18" s="1"/>
      <c r="B18">
        <v>2</v>
      </c>
      <c r="C18" t="s">
        <v>1</v>
      </c>
      <c r="D18">
        <v>13</v>
      </c>
      <c r="E18">
        <f>D18/40</f>
        <v>0.32500000000000001</v>
      </c>
      <c r="F18">
        <v>8</v>
      </c>
      <c r="G18">
        <f t="shared" ref="G18:G24" si="5">F18/D18</f>
        <v>0.61538461538461542</v>
      </c>
      <c r="H18">
        <v>2</v>
      </c>
      <c r="I18">
        <f t="shared" ref="I18:I25" si="6">H18/D18</f>
        <v>0.15384615384615385</v>
      </c>
      <c r="J18">
        <v>3</v>
      </c>
      <c r="K18">
        <f t="shared" ref="K18:K25" si="7">J18/D18</f>
        <v>0.23076923076923078</v>
      </c>
      <c r="L18">
        <v>0</v>
      </c>
      <c r="M18">
        <f t="shared" ref="M18:M25" si="8">L18/D18</f>
        <v>0</v>
      </c>
      <c r="O18">
        <f t="shared" ref="O18:O25" si="9">N18/D18</f>
        <v>0</v>
      </c>
      <c r="P18">
        <f t="shared" ref="P18:P25" si="10">(F18*5+H18*4+J18*3+N18*2)/D18</f>
        <v>4.384615384615385</v>
      </c>
      <c r="Q18">
        <f>327/D18</f>
        <v>25.153846153846153</v>
      </c>
      <c r="R18">
        <f t="shared" si="4"/>
        <v>0.78605769230769229</v>
      </c>
      <c r="S18">
        <v>3</v>
      </c>
      <c r="T18">
        <f>S18/D18</f>
        <v>0.23076923076923078</v>
      </c>
      <c r="U18">
        <v>0</v>
      </c>
      <c r="V18">
        <f t="shared" ref="V18:V24" si="11">U18/D18</f>
        <v>0</v>
      </c>
    </row>
    <row r="19" spans="1:22">
      <c r="A19" s="1"/>
      <c r="B19">
        <v>3</v>
      </c>
      <c r="C19" t="s">
        <v>2</v>
      </c>
      <c r="D19">
        <v>48</v>
      </c>
      <c r="E19">
        <f>D19/101</f>
        <v>0.47524752475247523</v>
      </c>
      <c r="F19">
        <v>4</v>
      </c>
      <c r="G19">
        <f t="shared" si="5"/>
        <v>8.3333333333333329E-2</v>
      </c>
      <c r="H19">
        <v>24</v>
      </c>
      <c r="I19">
        <f t="shared" si="6"/>
        <v>0.5</v>
      </c>
      <c r="J19">
        <v>20</v>
      </c>
      <c r="K19">
        <f t="shared" si="7"/>
        <v>0.41666666666666669</v>
      </c>
      <c r="L19">
        <v>2</v>
      </c>
      <c r="M19">
        <f t="shared" si="8"/>
        <v>4.1666666666666664E-2</v>
      </c>
      <c r="N19">
        <v>0</v>
      </c>
      <c r="O19">
        <f t="shared" si="9"/>
        <v>0</v>
      </c>
      <c r="P19">
        <f t="shared" si="10"/>
        <v>3.6666666666666665</v>
      </c>
      <c r="Q19">
        <f>(947-7+18-3+16)/D19</f>
        <v>20.229166666666668</v>
      </c>
      <c r="R19">
        <f t="shared" si="4"/>
        <v>0.63216145833333337</v>
      </c>
      <c r="S19">
        <v>0</v>
      </c>
      <c r="T19">
        <f t="shared" ref="T19:T24" si="12">S19/D19</f>
        <v>0</v>
      </c>
      <c r="U19">
        <v>0</v>
      </c>
      <c r="V19">
        <f t="shared" si="11"/>
        <v>0</v>
      </c>
    </row>
    <row r="20" spans="1:22">
      <c r="A20" s="1"/>
      <c r="B20">
        <v>4</v>
      </c>
      <c r="C20" t="s">
        <v>3</v>
      </c>
      <c r="D20">
        <v>14</v>
      </c>
      <c r="E20">
        <f>D20/46</f>
        <v>0.30434782608695654</v>
      </c>
      <c r="F20">
        <v>3</v>
      </c>
      <c r="G20">
        <f t="shared" si="5"/>
        <v>0.21428571428571427</v>
      </c>
      <c r="H20">
        <v>8</v>
      </c>
      <c r="I20">
        <f t="shared" si="6"/>
        <v>0.5714285714285714</v>
      </c>
      <c r="J20">
        <v>3</v>
      </c>
      <c r="K20">
        <f t="shared" si="7"/>
        <v>0.21428571428571427</v>
      </c>
      <c r="L20">
        <v>0</v>
      </c>
      <c r="M20">
        <f t="shared" si="8"/>
        <v>0</v>
      </c>
      <c r="O20">
        <f t="shared" si="9"/>
        <v>0</v>
      </c>
      <c r="P20">
        <f t="shared" si="10"/>
        <v>4</v>
      </c>
      <c r="Q20">
        <f>313/D20</f>
        <v>22.357142857142858</v>
      </c>
      <c r="R20">
        <f t="shared" si="4"/>
        <v>0.6986607142857143</v>
      </c>
      <c r="S20">
        <v>0</v>
      </c>
      <c r="T20">
        <f t="shared" si="12"/>
        <v>0</v>
      </c>
      <c r="U20">
        <v>0</v>
      </c>
      <c r="V20">
        <f t="shared" si="11"/>
        <v>0</v>
      </c>
    </row>
    <row r="21" spans="1:22">
      <c r="A21" s="1"/>
      <c r="B21">
        <v>5</v>
      </c>
      <c r="C21" t="s">
        <v>4</v>
      </c>
      <c r="D21">
        <v>1</v>
      </c>
      <c r="E21">
        <f>D21/6</f>
        <v>0.16666666666666666</v>
      </c>
      <c r="F21">
        <v>0</v>
      </c>
      <c r="G21">
        <f t="shared" si="5"/>
        <v>0</v>
      </c>
      <c r="H21">
        <v>1</v>
      </c>
      <c r="I21">
        <f t="shared" si="6"/>
        <v>1</v>
      </c>
      <c r="J21">
        <v>0</v>
      </c>
      <c r="K21">
        <f t="shared" si="7"/>
        <v>0</v>
      </c>
      <c r="L21">
        <v>0</v>
      </c>
      <c r="M21">
        <f t="shared" si="8"/>
        <v>0</v>
      </c>
      <c r="O21">
        <f t="shared" si="9"/>
        <v>0</v>
      </c>
      <c r="P21">
        <f t="shared" si="10"/>
        <v>4</v>
      </c>
      <c r="Q21">
        <f>24/D21</f>
        <v>24</v>
      </c>
      <c r="R21">
        <f t="shared" si="4"/>
        <v>0.75</v>
      </c>
      <c r="S21">
        <v>0</v>
      </c>
      <c r="T21">
        <f t="shared" si="12"/>
        <v>0</v>
      </c>
      <c r="U21">
        <v>0</v>
      </c>
      <c r="V21">
        <f t="shared" si="11"/>
        <v>0</v>
      </c>
    </row>
    <row r="22" spans="1:22">
      <c r="A22" s="1"/>
      <c r="B22">
        <v>6</v>
      </c>
      <c r="C22" t="s">
        <v>5</v>
      </c>
      <c r="D22">
        <v>9</v>
      </c>
      <c r="E22">
        <f>D22/12</f>
        <v>0.75</v>
      </c>
      <c r="F22">
        <v>0</v>
      </c>
      <c r="G22">
        <f t="shared" si="5"/>
        <v>0</v>
      </c>
      <c r="H22">
        <v>5</v>
      </c>
      <c r="I22">
        <f t="shared" si="6"/>
        <v>0.55555555555555558</v>
      </c>
      <c r="J22">
        <v>3</v>
      </c>
      <c r="K22">
        <f t="shared" si="7"/>
        <v>0.33333333333333331</v>
      </c>
      <c r="L22">
        <v>1</v>
      </c>
      <c r="M22">
        <f t="shared" si="8"/>
        <v>0.1111111111111111</v>
      </c>
      <c r="N22">
        <v>1</v>
      </c>
      <c r="O22">
        <f t="shared" si="9"/>
        <v>0.1111111111111111</v>
      </c>
      <c r="P22">
        <f t="shared" si="10"/>
        <v>3.4444444444444446</v>
      </c>
      <c r="Q22">
        <f>170/D22</f>
        <v>18.888888888888889</v>
      </c>
      <c r="R22">
        <f t="shared" si="4"/>
        <v>0.59027777777777779</v>
      </c>
      <c r="S22">
        <v>0</v>
      </c>
      <c r="T22">
        <f t="shared" si="12"/>
        <v>0</v>
      </c>
      <c r="U22">
        <v>0</v>
      </c>
      <c r="V22">
        <f t="shared" si="11"/>
        <v>0</v>
      </c>
    </row>
    <row r="23" spans="1:22">
      <c r="A23" s="1"/>
      <c r="B23">
        <v>7</v>
      </c>
      <c r="C23" t="s">
        <v>16</v>
      </c>
      <c r="D23">
        <v>6</v>
      </c>
      <c r="E23">
        <f>D23/6</f>
        <v>1</v>
      </c>
      <c r="F23">
        <v>0</v>
      </c>
      <c r="G23">
        <f t="shared" si="5"/>
        <v>0</v>
      </c>
      <c r="H23">
        <v>3</v>
      </c>
      <c r="I23">
        <f t="shared" si="6"/>
        <v>0.5</v>
      </c>
      <c r="J23">
        <v>3</v>
      </c>
      <c r="K23">
        <f t="shared" si="7"/>
        <v>0.5</v>
      </c>
      <c r="L23">
        <v>0</v>
      </c>
      <c r="M23">
        <f t="shared" si="8"/>
        <v>0</v>
      </c>
      <c r="O23">
        <f t="shared" si="9"/>
        <v>0</v>
      </c>
      <c r="P23">
        <f t="shared" si="10"/>
        <v>3.5</v>
      </c>
      <c r="Q23">
        <f>114/D23</f>
        <v>19</v>
      </c>
      <c r="R23">
        <f t="shared" si="4"/>
        <v>0.59375</v>
      </c>
      <c r="S23">
        <v>0</v>
      </c>
      <c r="T23">
        <f t="shared" si="12"/>
        <v>0</v>
      </c>
      <c r="U23">
        <v>0</v>
      </c>
      <c r="V23">
        <f t="shared" si="11"/>
        <v>0</v>
      </c>
    </row>
    <row r="24" spans="1:22">
      <c r="A24" s="1"/>
      <c r="B24">
        <v>8</v>
      </c>
      <c r="C24" t="s">
        <v>17</v>
      </c>
      <c r="D24">
        <v>0</v>
      </c>
      <c r="E24">
        <f>D24/5</f>
        <v>0</v>
      </c>
      <c r="F24">
        <v>0</v>
      </c>
      <c r="G24" t="e">
        <f t="shared" si="5"/>
        <v>#DIV/0!</v>
      </c>
      <c r="H24">
        <v>0</v>
      </c>
      <c r="I24" t="e">
        <f t="shared" si="6"/>
        <v>#DIV/0!</v>
      </c>
      <c r="J24">
        <v>0</v>
      </c>
      <c r="K24" t="e">
        <f t="shared" si="7"/>
        <v>#DIV/0!</v>
      </c>
      <c r="L24">
        <v>0</v>
      </c>
      <c r="M24" t="e">
        <f t="shared" si="8"/>
        <v>#DIV/0!</v>
      </c>
      <c r="O24" t="e">
        <f t="shared" si="9"/>
        <v>#DIV/0!</v>
      </c>
      <c r="P24" t="e">
        <f t="shared" si="10"/>
        <v>#DIV/0!</v>
      </c>
      <c r="Q24">
        <v>0</v>
      </c>
      <c r="R24">
        <v>0</v>
      </c>
      <c r="S24">
        <v>0</v>
      </c>
      <c r="T24" t="e">
        <f t="shared" si="12"/>
        <v>#DIV/0!</v>
      </c>
      <c r="U24">
        <v>0</v>
      </c>
      <c r="V24" t="e">
        <f t="shared" si="11"/>
        <v>#DIV/0!</v>
      </c>
    </row>
    <row r="25" spans="1:22">
      <c r="A25" s="1"/>
      <c r="C25" t="s">
        <v>6</v>
      </c>
      <c r="D25">
        <f>SUM(D17:D24)</f>
        <v>108</v>
      </c>
      <c r="E25">
        <f>D25/257</f>
        <v>0.42023346303501946</v>
      </c>
      <c r="F25">
        <f>SUM(F17:F24)</f>
        <v>19</v>
      </c>
      <c r="G25">
        <f>F25/D25</f>
        <v>0.17592592592592593</v>
      </c>
      <c r="H25">
        <f>SUM(H17:H24)</f>
        <v>54</v>
      </c>
      <c r="I25">
        <f t="shared" si="6"/>
        <v>0.5</v>
      </c>
      <c r="J25">
        <f>SUM(J17:J24)</f>
        <v>34</v>
      </c>
      <c r="K25">
        <f t="shared" si="7"/>
        <v>0.31481481481481483</v>
      </c>
      <c r="L25">
        <f>SUM(L17:L24)</f>
        <v>3</v>
      </c>
      <c r="M25">
        <f t="shared" si="8"/>
        <v>2.7777777777777776E-2</v>
      </c>
      <c r="N25">
        <f>SUM(N17:N24)</f>
        <v>1</v>
      </c>
      <c r="O25">
        <f t="shared" si="9"/>
        <v>9.2592592592592587E-3</v>
      </c>
      <c r="P25">
        <f t="shared" si="10"/>
        <v>3.8425925925925926</v>
      </c>
      <c r="Q25">
        <f>(2303-7-18-3+16)/D25</f>
        <v>21.212962962962962</v>
      </c>
      <c r="R25">
        <f>2303/(D25*32)</f>
        <v>0.66637731481481477</v>
      </c>
      <c r="S25">
        <f>SUM(S17:S24)</f>
        <v>4</v>
      </c>
      <c r="T25">
        <f>S25/D25</f>
        <v>3.7037037037037035E-2</v>
      </c>
      <c r="U25">
        <f>SUM(U17:U24)</f>
        <v>0</v>
      </c>
      <c r="V25">
        <f>U25/D25</f>
        <v>0</v>
      </c>
    </row>
    <row r="26" spans="1:22">
      <c r="A26" s="1"/>
      <c r="C26" t="s">
        <v>21</v>
      </c>
      <c r="O26">
        <v>4.67</v>
      </c>
      <c r="P26">
        <v>3.7</v>
      </c>
      <c r="Q26">
        <v>20.73</v>
      </c>
    </row>
    <row r="28" spans="1:22">
      <c r="B28" s="1" t="s">
        <v>144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2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P29" s="1" t="s">
        <v>24</v>
      </c>
      <c r="Q29" s="1" t="s">
        <v>14</v>
      </c>
      <c r="R29" s="1" t="s">
        <v>45</v>
      </c>
      <c r="S29" s="1" t="s">
        <v>40</v>
      </c>
      <c r="T29" s="1"/>
      <c r="U29" s="1" t="s">
        <v>46</v>
      </c>
      <c r="V29" s="1"/>
    </row>
    <row r="30" spans="1:22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P30" s="1"/>
      <c r="Q30" s="1"/>
      <c r="R30" s="1"/>
      <c r="S30" t="s">
        <v>8</v>
      </c>
      <c r="T30" t="s">
        <v>10</v>
      </c>
      <c r="U30" t="s">
        <v>8</v>
      </c>
      <c r="V30" t="s">
        <v>10</v>
      </c>
    </row>
    <row r="31" spans="1:22">
      <c r="A31" s="1"/>
      <c r="B31">
        <v>1</v>
      </c>
      <c r="C31" t="s">
        <v>0</v>
      </c>
      <c r="D31">
        <v>8</v>
      </c>
      <c r="E31">
        <f>D31/51</f>
        <v>0.15686274509803921</v>
      </c>
      <c r="F31">
        <v>3</v>
      </c>
      <c r="G31">
        <f>F31/D31</f>
        <v>0.375</v>
      </c>
      <c r="H31">
        <v>4</v>
      </c>
      <c r="I31">
        <f>H31/D31</f>
        <v>0.5</v>
      </c>
      <c r="J31">
        <v>1</v>
      </c>
      <c r="K31">
        <f>J31/D31</f>
        <v>0.125</v>
      </c>
      <c r="L31">
        <v>0</v>
      </c>
      <c r="M31">
        <f>L31/D31</f>
        <v>0</v>
      </c>
      <c r="P31">
        <f t="shared" ref="P31:P38" si="13">(F31*5+H31*4+J31*3+L31*2)/D31</f>
        <v>4.25</v>
      </c>
      <c r="Q31">
        <f>(165+27)/D31</f>
        <v>24</v>
      </c>
      <c r="R31">
        <f t="shared" ref="R31:R36" si="14">Q31/32</f>
        <v>0.75</v>
      </c>
      <c r="S31">
        <v>0</v>
      </c>
      <c r="T31">
        <f>S31/D31</f>
        <v>0</v>
      </c>
      <c r="U31">
        <v>0</v>
      </c>
      <c r="V31">
        <f>U31/D31</f>
        <v>0</v>
      </c>
    </row>
    <row r="32" spans="1:22">
      <c r="A32" s="1"/>
      <c r="B32">
        <v>2</v>
      </c>
      <c r="C32" t="s">
        <v>1</v>
      </c>
      <c r="D32">
        <v>17</v>
      </c>
      <c r="E32">
        <f>D32/35</f>
        <v>0.48571428571428571</v>
      </c>
      <c r="F32">
        <v>10</v>
      </c>
      <c r="G32">
        <f t="shared" ref="G32:G38" si="15">F32/D32</f>
        <v>0.58823529411764708</v>
      </c>
      <c r="H32">
        <v>7</v>
      </c>
      <c r="I32">
        <f t="shared" ref="I32:I39" si="16">H32/D32</f>
        <v>0.41176470588235292</v>
      </c>
      <c r="J32">
        <v>0</v>
      </c>
      <c r="K32">
        <f t="shared" ref="K32:K39" si="17">J32/D32</f>
        <v>0</v>
      </c>
      <c r="L32">
        <v>0</v>
      </c>
      <c r="M32">
        <f t="shared" ref="M32:M39" si="18">L32/D32</f>
        <v>0</v>
      </c>
      <c r="P32">
        <f t="shared" si="13"/>
        <v>4.5882352941176467</v>
      </c>
      <c r="Q32">
        <f>(381+30+30+24)/D32</f>
        <v>27.352941176470587</v>
      </c>
      <c r="R32">
        <f t="shared" si="14"/>
        <v>0.85477941176470584</v>
      </c>
      <c r="S32">
        <v>6</v>
      </c>
      <c r="T32">
        <f>S32/D32</f>
        <v>0.35294117647058826</v>
      </c>
      <c r="U32">
        <v>0</v>
      </c>
      <c r="V32">
        <f t="shared" ref="V32:V38" si="19">U32/D32</f>
        <v>0</v>
      </c>
    </row>
    <row r="33" spans="1:22">
      <c r="A33" s="1"/>
      <c r="B33">
        <v>3</v>
      </c>
      <c r="C33" t="s">
        <v>2</v>
      </c>
      <c r="D33">
        <v>34</v>
      </c>
      <c r="E33">
        <f>D33/97</f>
        <v>0.35051546391752575</v>
      </c>
      <c r="F33">
        <v>4</v>
      </c>
      <c r="G33">
        <f t="shared" si="15"/>
        <v>0.11764705882352941</v>
      </c>
      <c r="H33">
        <v>13</v>
      </c>
      <c r="I33">
        <f t="shared" si="16"/>
        <v>0.38235294117647056</v>
      </c>
      <c r="J33">
        <v>17</v>
      </c>
      <c r="K33">
        <f t="shared" si="17"/>
        <v>0.5</v>
      </c>
      <c r="L33">
        <v>0</v>
      </c>
      <c r="M33">
        <f t="shared" si="18"/>
        <v>0</v>
      </c>
      <c r="P33">
        <f t="shared" si="13"/>
        <v>3.6176470588235294</v>
      </c>
      <c r="Q33">
        <f>(645+26+26)/D33</f>
        <v>20.5</v>
      </c>
      <c r="R33">
        <f t="shared" si="14"/>
        <v>0.640625</v>
      </c>
      <c r="S33">
        <v>2</v>
      </c>
      <c r="T33">
        <f t="shared" ref="T33:T38" si="20">S33/D33</f>
        <v>5.8823529411764705E-2</v>
      </c>
      <c r="U33">
        <v>1</v>
      </c>
      <c r="V33">
        <f t="shared" si="19"/>
        <v>2.9411764705882353E-2</v>
      </c>
    </row>
    <row r="34" spans="1:22">
      <c r="A34" s="1"/>
      <c r="B34">
        <v>4</v>
      </c>
      <c r="C34" t="s">
        <v>3</v>
      </c>
      <c r="D34">
        <v>13</v>
      </c>
      <c r="E34">
        <f>D34/52</f>
        <v>0.25</v>
      </c>
      <c r="F34">
        <v>5</v>
      </c>
      <c r="G34">
        <f t="shared" si="15"/>
        <v>0.38461538461538464</v>
      </c>
      <c r="H34">
        <v>6</v>
      </c>
      <c r="I34">
        <f t="shared" si="16"/>
        <v>0.46153846153846156</v>
      </c>
      <c r="J34">
        <v>2</v>
      </c>
      <c r="K34">
        <f t="shared" si="17"/>
        <v>0.15384615384615385</v>
      </c>
      <c r="L34">
        <v>1</v>
      </c>
      <c r="M34">
        <f t="shared" si="18"/>
        <v>7.6923076923076927E-2</v>
      </c>
      <c r="P34">
        <f>(F34*5+H34*4+J34*3)/D34</f>
        <v>4.2307692307692308</v>
      </c>
      <c r="Q34">
        <f>(305+9)/D34</f>
        <v>24.153846153846153</v>
      </c>
      <c r="R34">
        <f t="shared" si="14"/>
        <v>0.75480769230769229</v>
      </c>
      <c r="S34">
        <v>2</v>
      </c>
      <c r="T34">
        <f t="shared" si="20"/>
        <v>0.15384615384615385</v>
      </c>
      <c r="U34">
        <v>0</v>
      </c>
      <c r="V34">
        <f t="shared" si="19"/>
        <v>0</v>
      </c>
    </row>
    <row r="35" spans="1:22">
      <c r="A35" s="1"/>
      <c r="B35">
        <v>5</v>
      </c>
      <c r="C35" t="s">
        <v>4</v>
      </c>
      <c r="D35">
        <v>1</v>
      </c>
      <c r="E35">
        <f>D35/5</f>
        <v>0.2</v>
      </c>
      <c r="F35">
        <v>0</v>
      </c>
      <c r="G35">
        <f t="shared" si="15"/>
        <v>0</v>
      </c>
      <c r="H35">
        <v>0</v>
      </c>
      <c r="I35">
        <f t="shared" si="16"/>
        <v>0</v>
      </c>
      <c r="J35">
        <v>1</v>
      </c>
      <c r="K35">
        <f t="shared" si="17"/>
        <v>1</v>
      </c>
      <c r="L35">
        <v>1</v>
      </c>
      <c r="M35">
        <f t="shared" si="18"/>
        <v>1</v>
      </c>
      <c r="P35">
        <f>(F35*5+H35*4+J35*3)/D35</f>
        <v>3</v>
      </c>
      <c r="Q35">
        <f>(7+8)/D35</f>
        <v>15</v>
      </c>
      <c r="R35">
        <f t="shared" si="14"/>
        <v>0.46875</v>
      </c>
      <c r="S35">
        <v>0</v>
      </c>
      <c r="T35">
        <f t="shared" si="20"/>
        <v>0</v>
      </c>
      <c r="U35">
        <v>0</v>
      </c>
      <c r="V35">
        <f t="shared" si="19"/>
        <v>0</v>
      </c>
    </row>
    <row r="36" spans="1:22">
      <c r="A36" s="1"/>
      <c r="B36">
        <v>6</v>
      </c>
      <c r="C36" t="s">
        <v>5</v>
      </c>
      <c r="D36">
        <v>10</v>
      </c>
      <c r="E36">
        <f>D36/8</f>
        <v>1.25</v>
      </c>
      <c r="F36">
        <v>4</v>
      </c>
      <c r="G36">
        <f t="shared" si="15"/>
        <v>0.4</v>
      </c>
      <c r="H36">
        <v>4</v>
      </c>
      <c r="I36">
        <f t="shared" si="16"/>
        <v>0.4</v>
      </c>
      <c r="J36">
        <v>2</v>
      </c>
      <c r="K36">
        <f t="shared" si="17"/>
        <v>0.2</v>
      </c>
      <c r="L36">
        <v>0</v>
      </c>
      <c r="M36">
        <f t="shared" si="18"/>
        <v>0</v>
      </c>
      <c r="P36">
        <f t="shared" si="13"/>
        <v>4.2</v>
      </c>
      <c r="Q36">
        <f>232/D36</f>
        <v>23.2</v>
      </c>
      <c r="R36">
        <f t="shared" si="14"/>
        <v>0.72499999999999998</v>
      </c>
      <c r="S36">
        <v>0</v>
      </c>
      <c r="T36">
        <f t="shared" si="20"/>
        <v>0</v>
      </c>
      <c r="U36">
        <v>0</v>
      </c>
      <c r="V36">
        <f t="shared" si="19"/>
        <v>0</v>
      </c>
    </row>
    <row r="37" spans="1:22">
      <c r="A37" s="1"/>
      <c r="B37">
        <v>7</v>
      </c>
      <c r="C37" t="s">
        <v>16</v>
      </c>
      <c r="D37">
        <v>0</v>
      </c>
      <c r="E37">
        <v>0</v>
      </c>
      <c r="F37">
        <v>0</v>
      </c>
      <c r="G37" t="e">
        <f t="shared" si="15"/>
        <v>#DIV/0!</v>
      </c>
      <c r="H37">
        <v>0</v>
      </c>
      <c r="I37" t="e">
        <f t="shared" si="16"/>
        <v>#DIV/0!</v>
      </c>
      <c r="J37">
        <v>0</v>
      </c>
      <c r="K37" t="e">
        <f t="shared" si="17"/>
        <v>#DIV/0!</v>
      </c>
      <c r="L37">
        <v>0</v>
      </c>
      <c r="M37" t="e">
        <f t="shared" si="18"/>
        <v>#DIV/0!</v>
      </c>
      <c r="P37" t="e">
        <f t="shared" si="13"/>
        <v>#DIV/0!</v>
      </c>
      <c r="Q37">
        <v>0</v>
      </c>
      <c r="R37">
        <v>0</v>
      </c>
      <c r="S37">
        <v>0</v>
      </c>
      <c r="T37" t="e">
        <f t="shared" si="20"/>
        <v>#DIV/0!</v>
      </c>
      <c r="U37">
        <v>0</v>
      </c>
      <c r="V37" t="e">
        <f t="shared" si="19"/>
        <v>#DIV/0!</v>
      </c>
    </row>
    <row r="38" spans="1:22">
      <c r="A38" s="1"/>
      <c r="B38">
        <v>8</v>
      </c>
      <c r="C38" t="s">
        <v>17</v>
      </c>
      <c r="D38">
        <v>0</v>
      </c>
      <c r="E38">
        <f>D38/5</f>
        <v>0</v>
      </c>
      <c r="F38">
        <v>0</v>
      </c>
      <c r="G38" t="e">
        <f t="shared" si="15"/>
        <v>#DIV/0!</v>
      </c>
      <c r="H38">
        <v>0</v>
      </c>
      <c r="I38" t="e">
        <f t="shared" si="16"/>
        <v>#DIV/0!</v>
      </c>
      <c r="J38">
        <v>0</v>
      </c>
      <c r="K38" t="e">
        <f t="shared" si="17"/>
        <v>#DIV/0!</v>
      </c>
      <c r="L38">
        <v>0</v>
      </c>
      <c r="M38" t="e">
        <f t="shared" si="18"/>
        <v>#DIV/0!</v>
      </c>
      <c r="P38" t="e">
        <f t="shared" si="13"/>
        <v>#DIV/0!</v>
      </c>
      <c r="Q38">
        <v>0</v>
      </c>
      <c r="R38">
        <v>0</v>
      </c>
      <c r="S38">
        <v>0</v>
      </c>
      <c r="T38" t="e">
        <f t="shared" si="20"/>
        <v>#DIV/0!</v>
      </c>
      <c r="U38">
        <v>0</v>
      </c>
      <c r="V38" t="e">
        <f t="shared" si="19"/>
        <v>#DIV/0!</v>
      </c>
    </row>
    <row r="39" spans="1:22">
      <c r="A39" s="1"/>
      <c r="C39" t="s">
        <v>6</v>
      </c>
      <c r="D39">
        <f>SUM(D31:D38)</f>
        <v>83</v>
      </c>
      <c r="E39">
        <f>D39/260</f>
        <v>0.31923076923076921</v>
      </c>
      <c r="F39">
        <f>SUM(F31:F38)</f>
        <v>26</v>
      </c>
      <c r="G39">
        <f>F39/D39</f>
        <v>0.31325301204819278</v>
      </c>
      <c r="H39">
        <f>SUM(H31:H38)</f>
        <v>34</v>
      </c>
      <c r="I39">
        <f t="shared" si="16"/>
        <v>0.40963855421686746</v>
      </c>
      <c r="J39">
        <f>SUM(J31:J38)</f>
        <v>23</v>
      </c>
      <c r="K39">
        <f t="shared" si="17"/>
        <v>0.27710843373493976</v>
      </c>
      <c r="L39">
        <f>SUM(L31:L38)</f>
        <v>2</v>
      </c>
      <c r="M39">
        <f t="shared" si="18"/>
        <v>2.4096385542168676E-2</v>
      </c>
      <c r="P39">
        <f>(F39*5+H39*4+J39*3)/D39</f>
        <v>4.0361445783132526</v>
      </c>
      <c r="Q39">
        <f>1915/D39</f>
        <v>23.072289156626507</v>
      </c>
      <c r="R39">
        <f>1915/(D39*32)</f>
        <v>0.72100903614457834</v>
      </c>
      <c r="S39">
        <f>SUM(S31:S38)</f>
        <v>10</v>
      </c>
      <c r="T39">
        <f>S39/D39</f>
        <v>0.12048192771084337</v>
      </c>
      <c r="U39">
        <f>SUM(U31:U38)</f>
        <v>1</v>
      </c>
      <c r="V39">
        <f>U39/D39</f>
        <v>1.2048192771084338E-2</v>
      </c>
    </row>
    <row r="40" spans="1:22">
      <c r="A40" s="1"/>
      <c r="C40" t="s">
        <v>21</v>
      </c>
    </row>
    <row r="41" spans="1:22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P41" s="1" t="s">
        <v>24</v>
      </c>
      <c r="Q41" s="1" t="s">
        <v>14</v>
      </c>
      <c r="R41" s="1" t="s">
        <v>45</v>
      </c>
      <c r="S41" s="1" t="s">
        <v>40</v>
      </c>
      <c r="T41" s="1"/>
      <c r="U41" s="1" t="s">
        <v>46</v>
      </c>
      <c r="V41" s="1"/>
    </row>
    <row r="42" spans="1:22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P42" s="1"/>
      <c r="Q42" s="1"/>
      <c r="R42" s="1"/>
      <c r="S42" t="s">
        <v>8</v>
      </c>
      <c r="T42" t="s">
        <v>10</v>
      </c>
      <c r="U42" t="s">
        <v>8</v>
      </c>
      <c r="V42" t="s">
        <v>10</v>
      </c>
    </row>
    <row r="43" spans="1:22">
      <c r="A43" s="1"/>
      <c r="B43">
        <v>1</v>
      </c>
      <c r="C43" t="s">
        <v>0</v>
      </c>
      <c r="D43">
        <v>1</v>
      </c>
      <c r="E43">
        <f>D43/53</f>
        <v>1.8867924528301886E-2</v>
      </c>
      <c r="F43">
        <v>1</v>
      </c>
      <c r="G43">
        <f>F43/D43</f>
        <v>1</v>
      </c>
      <c r="H43">
        <v>0</v>
      </c>
      <c r="I43">
        <f>H43/D43</f>
        <v>0</v>
      </c>
      <c r="J43">
        <v>0</v>
      </c>
      <c r="K43">
        <f>J43/D43</f>
        <v>0</v>
      </c>
      <c r="L43">
        <v>0</v>
      </c>
      <c r="M43">
        <f>L43/D43</f>
        <v>0</v>
      </c>
      <c r="P43">
        <v>5</v>
      </c>
      <c r="Q43">
        <v>28</v>
      </c>
      <c r="R43">
        <f t="shared" ref="R43:R48" si="21">Q43/32</f>
        <v>0.875</v>
      </c>
      <c r="S43">
        <v>0</v>
      </c>
      <c r="T43">
        <f>S43/D43</f>
        <v>0</v>
      </c>
      <c r="U43">
        <v>0</v>
      </c>
      <c r="V43">
        <f>U43/D43</f>
        <v>0</v>
      </c>
    </row>
    <row r="44" spans="1:22">
      <c r="A44" s="1"/>
      <c r="B44">
        <v>2</v>
      </c>
      <c r="C44" t="s">
        <v>1</v>
      </c>
      <c r="D44">
        <v>15</v>
      </c>
      <c r="E44">
        <f>D44/45</f>
        <v>0.33333333333333331</v>
      </c>
      <c r="F44">
        <v>10</v>
      </c>
      <c r="G44">
        <f t="shared" ref="G44:G50" si="22">F44/D44</f>
        <v>0.66666666666666663</v>
      </c>
      <c r="H44">
        <v>5</v>
      </c>
      <c r="I44">
        <f t="shared" ref="I44:I51" si="23">H44/D44</f>
        <v>0.33333333333333331</v>
      </c>
      <c r="J44">
        <v>0</v>
      </c>
      <c r="K44">
        <f t="shared" ref="K44:K51" si="24">J44/D44</f>
        <v>0</v>
      </c>
      <c r="L44">
        <v>0</v>
      </c>
      <c r="M44">
        <f t="shared" ref="M44:M51" si="25">L44/D44</f>
        <v>0</v>
      </c>
      <c r="P44">
        <f t="shared" ref="P44:P51" si="26">(F44*5+H44*4+J44*3+L44*2)/D44</f>
        <v>4.666666666666667</v>
      </c>
      <c r="Q44">
        <f>416/D44</f>
        <v>27.733333333333334</v>
      </c>
      <c r="R44">
        <f t="shared" si="21"/>
        <v>0.8666666666666667</v>
      </c>
      <c r="S44">
        <v>3</v>
      </c>
      <c r="T44">
        <f>S44/D44</f>
        <v>0.2</v>
      </c>
      <c r="U44">
        <v>1</v>
      </c>
      <c r="V44">
        <f t="shared" ref="V44:V50" si="27">U44/D44</f>
        <v>6.6666666666666666E-2</v>
      </c>
    </row>
    <row r="45" spans="1:22">
      <c r="A45" s="1"/>
      <c r="B45">
        <v>3</v>
      </c>
      <c r="C45" t="s">
        <v>2</v>
      </c>
      <c r="D45">
        <v>47</v>
      </c>
      <c r="E45">
        <f>D45/103</f>
        <v>0.4563106796116505</v>
      </c>
      <c r="F45">
        <v>4</v>
      </c>
      <c r="G45">
        <f t="shared" si="22"/>
        <v>8.5106382978723402E-2</v>
      </c>
      <c r="H45">
        <v>27</v>
      </c>
      <c r="I45">
        <f t="shared" si="23"/>
        <v>0.57446808510638303</v>
      </c>
      <c r="J45">
        <v>16</v>
      </c>
      <c r="K45">
        <f t="shared" si="24"/>
        <v>0.34042553191489361</v>
      </c>
      <c r="L45">
        <v>0</v>
      </c>
      <c r="M45">
        <f t="shared" si="25"/>
        <v>0</v>
      </c>
      <c r="P45">
        <f t="shared" si="26"/>
        <v>3.7446808510638299</v>
      </c>
      <c r="Q45">
        <f>981/D45</f>
        <v>20.872340425531913</v>
      </c>
      <c r="R45">
        <f t="shared" si="21"/>
        <v>0.65226063829787229</v>
      </c>
      <c r="S45">
        <v>1</v>
      </c>
      <c r="T45">
        <f t="shared" ref="T45:T50" si="28">S45/D45</f>
        <v>2.1276595744680851E-2</v>
      </c>
      <c r="U45">
        <v>0</v>
      </c>
      <c r="V45">
        <f t="shared" si="27"/>
        <v>0</v>
      </c>
    </row>
    <row r="46" spans="1:22">
      <c r="A46" s="1"/>
      <c r="B46">
        <v>4</v>
      </c>
      <c r="C46" t="s">
        <v>3</v>
      </c>
      <c r="D46">
        <v>7</v>
      </c>
      <c r="E46">
        <f>D46/42</f>
        <v>0.16666666666666666</v>
      </c>
      <c r="F46">
        <v>2</v>
      </c>
      <c r="G46">
        <f t="shared" si="22"/>
        <v>0.2857142857142857</v>
      </c>
      <c r="H46">
        <v>4</v>
      </c>
      <c r="I46">
        <f t="shared" si="23"/>
        <v>0.5714285714285714</v>
      </c>
      <c r="J46">
        <v>0</v>
      </c>
      <c r="K46">
        <f t="shared" si="24"/>
        <v>0</v>
      </c>
      <c r="L46">
        <v>1</v>
      </c>
      <c r="M46">
        <f t="shared" si="25"/>
        <v>0.14285714285714285</v>
      </c>
      <c r="P46">
        <f t="shared" si="26"/>
        <v>4</v>
      </c>
      <c r="Q46">
        <f>156/D46</f>
        <v>22.285714285714285</v>
      </c>
      <c r="R46">
        <f t="shared" si="21"/>
        <v>0.6964285714285714</v>
      </c>
      <c r="S46">
        <v>0</v>
      </c>
      <c r="T46">
        <f t="shared" si="28"/>
        <v>0</v>
      </c>
      <c r="U46">
        <v>0</v>
      </c>
      <c r="V46">
        <f t="shared" si="27"/>
        <v>0</v>
      </c>
    </row>
    <row r="47" spans="1:22">
      <c r="A47" s="1"/>
      <c r="B47">
        <v>5</v>
      </c>
      <c r="C47" t="s">
        <v>4</v>
      </c>
      <c r="D47">
        <v>3</v>
      </c>
      <c r="E47">
        <f>D47/5</f>
        <v>0.6</v>
      </c>
      <c r="F47">
        <v>1</v>
      </c>
      <c r="G47">
        <f t="shared" si="22"/>
        <v>0.33333333333333331</v>
      </c>
      <c r="H47">
        <v>0</v>
      </c>
      <c r="I47">
        <f t="shared" si="23"/>
        <v>0</v>
      </c>
      <c r="J47">
        <v>2</v>
      </c>
      <c r="K47">
        <f t="shared" si="24"/>
        <v>0.66666666666666663</v>
      </c>
      <c r="L47">
        <v>0</v>
      </c>
      <c r="M47">
        <f t="shared" si="25"/>
        <v>0</v>
      </c>
      <c r="P47">
        <f t="shared" si="26"/>
        <v>3.6666666666666665</v>
      </c>
      <c r="Q47">
        <f>62/D47</f>
        <v>20.666666666666668</v>
      </c>
      <c r="R47">
        <f t="shared" si="21"/>
        <v>0.64583333333333337</v>
      </c>
      <c r="S47">
        <v>1</v>
      </c>
      <c r="T47">
        <f t="shared" si="28"/>
        <v>0.33333333333333331</v>
      </c>
      <c r="U47">
        <v>0</v>
      </c>
      <c r="V47">
        <f t="shared" si="27"/>
        <v>0</v>
      </c>
    </row>
    <row r="48" spans="1:22">
      <c r="A48" s="1"/>
      <c r="B48">
        <v>6</v>
      </c>
      <c r="C48" t="s">
        <v>5</v>
      </c>
      <c r="D48">
        <v>8</v>
      </c>
      <c r="E48">
        <f>D48/8</f>
        <v>1</v>
      </c>
      <c r="F48">
        <v>1</v>
      </c>
      <c r="G48">
        <f t="shared" si="22"/>
        <v>0.125</v>
      </c>
      <c r="H48">
        <v>2</v>
      </c>
      <c r="I48">
        <f t="shared" si="23"/>
        <v>0.25</v>
      </c>
      <c r="J48">
        <v>5</v>
      </c>
      <c r="K48">
        <f t="shared" si="24"/>
        <v>0.625</v>
      </c>
      <c r="L48">
        <v>0</v>
      </c>
      <c r="M48">
        <f t="shared" si="25"/>
        <v>0</v>
      </c>
      <c r="P48">
        <f t="shared" si="26"/>
        <v>3.5</v>
      </c>
      <c r="Q48">
        <f>151/D48</f>
        <v>18.875</v>
      </c>
      <c r="R48">
        <f t="shared" si="21"/>
        <v>0.58984375</v>
      </c>
      <c r="S48">
        <v>0</v>
      </c>
      <c r="T48">
        <f t="shared" si="28"/>
        <v>0</v>
      </c>
      <c r="U48">
        <v>0</v>
      </c>
      <c r="V48">
        <f t="shared" si="27"/>
        <v>0</v>
      </c>
    </row>
    <row r="49" spans="1:22">
      <c r="A49" s="1"/>
      <c r="B49">
        <v>7</v>
      </c>
      <c r="C49" t="s">
        <v>16</v>
      </c>
      <c r="D49">
        <v>0</v>
      </c>
      <c r="E49">
        <v>0</v>
      </c>
      <c r="F49">
        <v>0</v>
      </c>
      <c r="G49" t="e">
        <f t="shared" si="22"/>
        <v>#DIV/0!</v>
      </c>
      <c r="H49">
        <v>0</v>
      </c>
      <c r="I49" t="e">
        <f t="shared" si="23"/>
        <v>#DIV/0!</v>
      </c>
      <c r="J49">
        <v>0</v>
      </c>
      <c r="K49" t="e">
        <f t="shared" si="24"/>
        <v>#DIV/0!</v>
      </c>
      <c r="L49">
        <v>0</v>
      </c>
      <c r="M49" t="e">
        <f t="shared" si="25"/>
        <v>#DIV/0!</v>
      </c>
      <c r="P49" t="e">
        <f t="shared" si="26"/>
        <v>#DIV/0!</v>
      </c>
      <c r="Q49">
        <v>0</v>
      </c>
      <c r="R49">
        <v>0</v>
      </c>
      <c r="S49">
        <v>0</v>
      </c>
      <c r="T49" t="e">
        <f t="shared" si="28"/>
        <v>#DIV/0!</v>
      </c>
      <c r="U49">
        <v>0</v>
      </c>
      <c r="V49" t="e">
        <f t="shared" si="27"/>
        <v>#DIV/0!</v>
      </c>
    </row>
    <row r="50" spans="1:22">
      <c r="A50" s="1"/>
      <c r="B50">
        <v>8</v>
      </c>
      <c r="C50" t="s">
        <v>17</v>
      </c>
      <c r="D50">
        <v>0</v>
      </c>
      <c r="E50">
        <f>D50/5</f>
        <v>0</v>
      </c>
      <c r="F50">
        <v>0</v>
      </c>
      <c r="G50" t="e">
        <f t="shared" si="22"/>
        <v>#DIV/0!</v>
      </c>
      <c r="H50">
        <v>0</v>
      </c>
      <c r="I50" t="e">
        <f t="shared" si="23"/>
        <v>#DIV/0!</v>
      </c>
      <c r="J50">
        <v>0</v>
      </c>
      <c r="K50" t="e">
        <f t="shared" si="24"/>
        <v>#DIV/0!</v>
      </c>
      <c r="L50">
        <v>0</v>
      </c>
      <c r="M50" t="e">
        <f t="shared" si="25"/>
        <v>#DIV/0!</v>
      </c>
      <c r="P50" t="e">
        <f t="shared" si="26"/>
        <v>#DIV/0!</v>
      </c>
      <c r="Q50">
        <v>0</v>
      </c>
      <c r="R50">
        <v>0</v>
      </c>
      <c r="S50">
        <v>0</v>
      </c>
      <c r="T50" t="e">
        <f t="shared" si="28"/>
        <v>#DIV/0!</v>
      </c>
      <c r="U50">
        <v>0</v>
      </c>
      <c r="V50" t="e">
        <f t="shared" si="27"/>
        <v>#DIV/0!</v>
      </c>
    </row>
    <row r="51" spans="1:22">
      <c r="A51" s="1"/>
      <c r="C51" t="s">
        <v>6</v>
      </c>
      <c r="D51">
        <f>SUM(D43:D50)</f>
        <v>81</v>
      </c>
      <c r="E51">
        <f>D51/262</f>
        <v>0.30916030534351147</v>
      </c>
      <c r="F51">
        <f>SUM(F43:F50)</f>
        <v>19</v>
      </c>
      <c r="G51">
        <f>F51/D51</f>
        <v>0.23456790123456789</v>
      </c>
      <c r="H51">
        <f>SUM(H43:H50)</f>
        <v>38</v>
      </c>
      <c r="I51">
        <f t="shared" si="23"/>
        <v>0.46913580246913578</v>
      </c>
      <c r="J51">
        <f>SUM(J43:J50)</f>
        <v>23</v>
      </c>
      <c r="K51">
        <f t="shared" si="24"/>
        <v>0.2839506172839506</v>
      </c>
      <c r="L51">
        <f>SUM(L43:L50)</f>
        <v>1</v>
      </c>
      <c r="M51">
        <f t="shared" si="25"/>
        <v>1.2345679012345678E-2</v>
      </c>
      <c r="P51">
        <f t="shared" si="26"/>
        <v>3.925925925925926</v>
      </c>
      <c r="Q51">
        <f>1794/D51</f>
        <v>22.148148148148149</v>
      </c>
      <c r="R51">
        <f>1794/(D51*32)</f>
        <v>0.69212962962962965</v>
      </c>
      <c r="S51">
        <f>SUM(S43:S50)</f>
        <v>5</v>
      </c>
      <c r="T51">
        <f>S51/D51</f>
        <v>6.1728395061728392E-2</v>
      </c>
      <c r="U51">
        <f>SUM(U43:U50)</f>
        <v>1</v>
      </c>
      <c r="V51">
        <f>U51/D51</f>
        <v>1.2345679012345678E-2</v>
      </c>
    </row>
    <row r="52" spans="1:22">
      <c r="A52" s="1"/>
      <c r="C52" t="s">
        <v>21</v>
      </c>
    </row>
  </sheetData>
  <mergeCells count="49">
    <mergeCell ref="R2:R3"/>
    <mergeCell ref="S2:T2"/>
    <mergeCell ref="U2:V2"/>
    <mergeCell ref="B1:Q1"/>
    <mergeCell ref="A2:A13"/>
    <mergeCell ref="D2:E2"/>
    <mergeCell ref="F2:G2"/>
    <mergeCell ref="H2:I2"/>
    <mergeCell ref="J2:K2"/>
    <mergeCell ref="L2:M2"/>
    <mergeCell ref="N2:O2"/>
    <mergeCell ref="P2:P3"/>
    <mergeCell ref="Q2:Q3"/>
    <mergeCell ref="R15:R16"/>
    <mergeCell ref="S15:T15"/>
    <mergeCell ref="U15:V15"/>
    <mergeCell ref="B14:Q14"/>
    <mergeCell ref="P15:P16"/>
    <mergeCell ref="Q15:Q16"/>
    <mergeCell ref="N15:O15"/>
    <mergeCell ref="L15:M15"/>
    <mergeCell ref="A15:A26"/>
    <mergeCell ref="D15:E15"/>
    <mergeCell ref="F15:G15"/>
    <mergeCell ref="H15:I15"/>
    <mergeCell ref="J15:K15"/>
    <mergeCell ref="B28:Q28"/>
    <mergeCell ref="D41:E41"/>
    <mergeCell ref="F41:G41"/>
    <mergeCell ref="H41:I41"/>
    <mergeCell ref="J41:K41"/>
    <mergeCell ref="L41:M41"/>
    <mergeCell ref="P41:P42"/>
    <mergeCell ref="L29:M29"/>
    <mergeCell ref="R41:R42"/>
    <mergeCell ref="S41:T41"/>
    <mergeCell ref="U41:V41"/>
    <mergeCell ref="R29:R30"/>
    <mergeCell ref="S29:T29"/>
    <mergeCell ref="U29:V29"/>
    <mergeCell ref="A29:A40"/>
    <mergeCell ref="A41:A52"/>
    <mergeCell ref="Q41:Q42"/>
    <mergeCell ref="D29:E29"/>
    <mergeCell ref="F29:G29"/>
    <mergeCell ref="H29:I29"/>
    <mergeCell ref="J29:K29"/>
    <mergeCell ref="P29:P30"/>
    <mergeCell ref="Q29:Q30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rowBreaks count="2" manualBreakCount="2">
    <brk id="13" max="21" man="1"/>
    <brk id="27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2"/>
  <sheetViews>
    <sheetView view="pageBreakPreview" zoomScale="60" workbookViewId="0">
      <pane xSplit="3" ySplit="5" topLeftCell="D6" activePane="bottomRight" state="frozen"/>
      <selection pane="topRight" activeCell="C1" sqref="C1"/>
      <selection pane="bottomLeft" activeCell="A4" sqref="A4"/>
      <selection pane="bottomRight" activeCell="C4" sqref="C4:C9"/>
    </sheetView>
  </sheetViews>
  <sheetFormatPr defaultRowHeight="15"/>
  <cols>
    <col min="2" max="2" width="6.42578125" customWidth="1"/>
    <col min="3" max="3" width="15.28515625" customWidth="1"/>
    <col min="4" max="4" width="6.42578125" customWidth="1"/>
    <col min="5" max="5" width="11.7109375" customWidth="1"/>
    <col min="14" max="14" width="10.5703125" bestFit="1" customWidth="1"/>
    <col min="15" max="16" width="11.5703125" bestFit="1" customWidth="1"/>
    <col min="17" max="17" width="6.85546875" customWidth="1"/>
    <col min="20" max="20" width="11.5703125" bestFit="1" customWidth="1"/>
  </cols>
  <sheetData>
    <row r="1" spans="1:20">
      <c r="B1" s="1" t="s">
        <v>208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24</v>
      </c>
      <c r="O2" s="1" t="s">
        <v>14</v>
      </c>
      <c r="P2" s="1" t="s">
        <v>187</v>
      </c>
      <c r="Q2" s="1" t="s">
        <v>221</v>
      </c>
      <c r="R2" s="1"/>
      <c r="S2" s="1" t="s">
        <v>188</v>
      </c>
      <c r="T2" s="1"/>
    </row>
    <row r="3" spans="1:20" ht="90.75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s="1"/>
      <c r="O3" s="1"/>
      <c r="P3" s="1"/>
      <c r="Q3" t="s">
        <v>8</v>
      </c>
      <c r="R3" t="s">
        <v>10</v>
      </c>
      <c r="S3" t="s">
        <v>8</v>
      </c>
      <c r="T3" t="s">
        <v>10</v>
      </c>
    </row>
    <row r="4" spans="1:20" ht="21" customHeight="1">
      <c r="A4" s="1"/>
      <c r="B4">
        <v>1</v>
      </c>
      <c r="C4" t="s">
        <v>0</v>
      </c>
      <c r="D4">
        <v>2</v>
      </c>
      <c r="E4">
        <f>D4/56</f>
        <v>3.5714285714285712E-2</v>
      </c>
      <c r="F4">
        <v>0</v>
      </c>
      <c r="G4">
        <f>F4/D4</f>
        <v>0</v>
      </c>
      <c r="H4">
        <v>2</v>
      </c>
      <c r="I4">
        <f>H4/D4</f>
        <v>1</v>
      </c>
      <c r="J4">
        <v>0</v>
      </c>
      <c r="K4">
        <f>J4/D4</f>
        <v>0</v>
      </c>
      <c r="L4">
        <v>0</v>
      </c>
      <c r="M4">
        <f>L4/D4</f>
        <v>0</v>
      </c>
      <c r="N4">
        <f>(F4*5+H4*4+J4*3+L4*2)/D4</f>
        <v>4</v>
      </c>
      <c r="O4">
        <f>47/D4</f>
        <v>23.5</v>
      </c>
      <c r="P4">
        <v>0.61</v>
      </c>
      <c r="Q4">
        <v>0</v>
      </c>
      <c r="R4">
        <f>Q4/D4</f>
        <v>0</v>
      </c>
      <c r="S4">
        <v>0</v>
      </c>
      <c r="T4">
        <f>S4/D4</f>
        <v>0</v>
      </c>
    </row>
    <row r="5" spans="1:20">
      <c r="A5" s="1"/>
      <c r="B5">
        <v>2</v>
      </c>
      <c r="C5" t="s">
        <v>1</v>
      </c>
      <c r="D5">
        <v>9</v>
      </c>
      <c r="E5">
        <f>D5/46</f>
        <v>0.19565217391304349</v>
      </c>
      <c r="F5">
        <v>1</v>
      </c>
      <c r="G5">
        <f>F5/D5</f>
        <v>0.1111111111111111</v>
      </c>
      <c r="H5">
        <v>4</v>
      </c>
      <c r="I5">
        <f t="shared" ref="I5:I12" si="0">H5/D5</f>
        <v>0.44444444444444442</v>
      </c>
      <c r="J5">
        <v>4</v>
      </c>
      <c r="K5">
        <f t="shared" ref="K5:K12" si="1">J5/D5</f>
        <v>0.44444444444444442</v>
      </c>
      <c r="L5">
        <v>0</v>
      </c>
      <c r="M5">
        <f t="shared" ref="M5:M12" si="2">L5/D5</f>
        <v>0</v>
      </c>
      <c r="N5">
        <f t="shared" ref="N5:N12" si="3">(F5*5+H5*4+J5*3+L5*2)/D5</f>
        <v>3.6666666666666665</v>
      </c>
      <c r="O5">
        <v>21.88</v>
      </c>
      <c r="P5">
        <v>0.56999999999999995</v>
      </c>
      <c r="Q5">
        <v>0</v>
      </c>
      <c r="R5">
        <f>Q5/D5</f>
        <v>0</v>
      </c>
      <c r="S5">
        <v>0</v>
      </c>
      <c r="T5">
        <f t="shared" ref="T5:T12" si="4">S5/D5</f>
        <v>0</v>
      </c>
    </row>
    <row r="6" spans="1:20">
      <c r="A6" s="1"/>
      <c r="B6">
        <v>3</v>
      </c>
      <c r="C6" t="s">
        <v>2</v>
      </c>
      <c r="D6">
        <v>0</v>
      </c>
      <c r="E6">
        <f>D6/101</f>
        <v>0</v>
      </c>
      <c r="F6">
        <v>0</v>
      </c>
      <c r="G6" t="e">
        <f>F6/D6</f>
        <v>#DIV/0!</v>
      </c>
      <c r="H6">
        <v>0</v>
      </c>
      <c r="I6" t="e">
        <f t="shared" si="0"/>
        <v>#DIV/0!</v>
      </c>
      <c r="J6">
        <v>0</v>
      </c>
      <c r="K6" t="e">
        <f t="shared" si="1"/>
        <v>#DIV/0!</v>
      </c>
      <c r="L6">
        <v>0</v>
      </c>
      <c r="M6" t="e">
        <f t="shared" si="2"/>
        <v>#DIV/0!</v>
      </c>
      <c r="N6" t="e">
        <f t="shared" si="3"/>
        <v>#DIV/0!</v>
      </c>
      <c r="O6" t="e">
        <f>191/D6</f>
        <v>#DIV/0!</v>
      </c>
      <c r="P6" t="e">
        <f>O6/34</f>
        <v>#DIV/0!</v>
      </c>
      <c r="Q6">
        <v>0</v>
      </c>
      <c r="R6" t="e">
        <f t="shared" ref="R6:R12" si="5">Q6/D6</f>
        <v>#DIV/0!</v>
      </c>
      <c r="S6">
        <v>0</v>
      </c>
      <c r="T6" t="e">
        <f t="shared" si="4"/>
        <v>#DIV/0!</v>
      </c>
    </row>
    <row r="7" spans="1:20">
      <c r="A7" s="1"/>
      <c r="B7">
        <v>4</v>
      </c>
      <c r="C7" t="s">
        <v>3</v>
      </c>
      <c r="D7">
        <v>4</v>
      </c>
      <c r="E7">
        <f>D7/69</f>
        <v>5.7971014492753624E-2</v>
      </c>
      <c r="F7">
        <v>0</v>
      </c>
      <c r="G7">
        <f>F7/D7</f>
        <v>0</v>
      </c>
      <c r="H7">
        <v>4</v>
      </c>
      <c r="I7">
        <f t="shared" si="0"/>
        <v>1</v>
      </c>
      <c r="J7">
        <v>0</v>
      </c>
      <c r="K7">
        <f t="shared" si="1"/>
        <v>0</v>
      </c>
      <c r="L7">
        <v>0</v>
      </c>
      <c r="M7">
        <f t="shared" si="2"/>
        <v>0</v>
      </c>
      <c r="N7">
        <f t="shared" si="3"/>
        <v>4</v>
      </c>
      <c r="O7">
        <f>93/D7</f>
        <v>23.25</v>
      </c>
      <c r="P7">
        <v>0.61</v>
      </c>
      <c r="Q7">
        <v>0</v>
      </c>
      <c r="R7">
        <f t="shared" si="5"/>
        <v>0</v>
      </c>
      <c r="S7">
        <v>0</v>
      </c>
      <c r="T7">
        <f t="shared" si="4"/>
        <v>0</v>
      </c>
    </row>
    <row r="8" spans="1:20">
      <c r="A8" s="1"/>
      <c r="B8">
        <v>5</v>
      </c>
      <c r="C8" t="s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>
      <c r="A9" s="1"/>
      <c r="B9">
        <v>6</v>
      </c>
      <c r="C9" t="s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>
      <c r="A10" s="1"/>
      <c r="B10">
        <v>7</v>
      </c>
      <c r="C10" t="s">
        <v>16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s="1"/>
      <c r="B11">
        <v>8</v>
      </c>
      <c r="C11" t="s">
        <v>17</v>
      </c>
      <c r="E11">
        <f>D11/2</f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>
      <c r="A12" s="1"/>
      <c r="C12" t="s">
        <v>6</v>
      </c>
      <c r="D12">
        <f>SUM(D4:D11)</f>
        <v>15</v>
      </c>
      <c r="E12">
        <f>D12/283</f>
        <v>5.3003533568904596E-2</v>
      </c>
      <c r="F12">
        <f>SUM(F4:F11)</f>
        <v>1</v>
      </c>
      <c r="G12">
        <f>F12/D12</f>
        <v>6.6666666666666666E-2</v>
      </c>
      <c r="H12">
        <f>SUM(H4:H11)</f>
        <v>10</v>
      </c>
      <c r="I12">
        <f t="shared" si="0"/>
        <v>0.66666666666666663</v>
      </c>
      <c r="J12">
        <f>SUM(J4:J11)</f>
        <v>4</v>
      </c>
      <c r="K12">
        <f t="shared" si="1"/>
        <v>0.26666666666666666</v>
      </c>
      <c r="L12">
        <f>SUM(L4:L11)</f>
        <v>0</v>
      </c>
      <c r="M12">
        <f t="shared" si="2"/>
        <v>0</v>
      </c>
      <c r="N12">
        <f t="shared" si="3"/>
        <v>3.8</v>
      </c>
      <c r="O12">
        <v>22.46</v>
      </c>
      <c r="P12">
        <v>0.59</v>
      </c>
      <c r="Q12">
        <f>SUM(Q4:Q11)</f>
        <v>0</v>
      </c>
      <c r="R12">
        <f t="shared" si="5"/>
        <v>0</v>
      </c>
      <c r="S12">
        <f>SUM(S4:S11)</f>
        <v>0</v>
      </c>
      <c r="T12">
        <f t="shared" si="4"/>
        <v>0</v>
      </c>
    </row>
    <row r="13" spans="1:20">
      <c r="A13" s="1"/>
      <c r="C13" t="s">
        <v>21</v>
      </c>
    </row>
    <row r="14" spans="1:20">
      <c r="B14" s="1" t="s">
        <v>167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0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24</v>
      </c>
      <c r="O15" s="1" t="s">
        <v>14</v>
      </c>
      <c r="P15" s="1" t="s">
        <v>34</v>
      </c>
      <c r="Q15" s="1" t="s">
        <v>35</v>
      </c>
      <c r="R15" s="1"/>
      <c r="S15" s="1" t="s">
        <v>150</v>
      </c>
      <c r="T15" s="1"/>
    </row>
    <row r="16" spans="1:20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s="1"/>
      <c r="O16" s="1"/>
      <c r="P16" s="1"/>
      <c r="Q16" t="s">
        <v>8</v>
      </c>
      <c r="R16" t="s">
        <v>10</v>
      </c>
      <c r="S16" t="s">
        <v>8</v>
      </c>
      <c r="T16" t="s">
        <v>10</v>
      </c>
    </row>
    <row r="17" spans="1:20">
      <c r="A17" s="1"/>
      <c r="B17">
        <v>1</v>
      </c>
      <c r="C17" t="s">
        <v>0</v>
      </c>
      <c r="D17">
        <v>7</v>
      </c>
      <c r="E17">
        <f>D17/43</f>
        <v>0.16279069767441862</v>
      </c>
      <c r="F17">
        <v>5</v>
      </c>
      <c r="G17">
        <f>F17/D17</f>
        <v>0.7142857142857143</v>
      </c>
      <c r="H17">
        <v>2</v>
      </c>
      <c r="I17">
        <f>H17/D17</f>
        <v>0.2857142857142857</v>
      </c>
      <c r="J17">
        <v>0</v>
      </c>
      <c r="K17">
        <f>J17/D17</f>
        <v>0</v>
      </c>
      <c r="L17">
        <v>0</v>
      </c>
      <c r="M17">
        <f>L17/D17</f>
        <v>0</v>
      </c>
      <c r="N17">
        <f>(F17*5+H17*4+J17*3+L17*2)/D17</f>
        <v>4.7142857142857144</v>
      </c>
      <c r="O17">
        <f>200/D17</f>
        <v>28.571428571428573</v>
      </c>
      <c r="P17">
        <f>O17/34</f>
        <v>0.84033613445378152</v>
      </c>
      <c r="Q17">
        <v>2</v>
      </c>
      <c r="R17">
        <f>Q17/D17</f>
        <v>0.2857142857142857</v>
      </c>
      <c r="S17">
        <v>0</v>
      </c>
      <c r="T17">
        <f>S17/D17</f>
        <v>0</v>
      </c>
    </row>
    <row r="18" spans="1:20">
      <c r="A18" s="1"/>
      <c r="B18">
        <v>2</v>
      </c>
      <c r="C18" t="s">
        <v>1</v>
      </c>
      <c r="D18">
        <v>21</v>
      </c>
      <c r="E18">
        <f>D18/40</f>
        <v>0.52500000000000002</v>
      </c>
      <c r="F18">
        <v>5</v>
      </c>
      <c r="G18">
        <f t="shared" ref="G18:G24" si="6">F18/D18</f>
        <v>0.23809523809523808</v>
      </c>
      <c r="H18">
        <v>6</v>
      </c>
      <c r="I18">
        <f t="shared" ref="I18:I25" si="7">H18/D18</f>
        <v>0.2857142857142857</v>
      </c>
      <c r="J18">
        <v>10</v>
      </c>
      <c r="K18">
        <f t="shared" ref="K18:K25" si="8">J18/D18</f>
        <v>0.47619047619047616</v>
      </c>
      <c r="L18">
        <v>0</v>
      </c>
      <c r="M18">
        <f t="shared" ref="M18:M25" si="9">L18/D18</f>
        <v>0</v>
      </c>
      <c r="N18">
        <f t="shared" ref="N18:N25" si="10">(F18*5+H18*4+J18*3+L18*2)/D18</f>
        <v>3.7619047619047619</v>
      </c>
      <c r="O18">
        <f>445/D18</f>
        <v>21.19047619047619</v>
      </c>
      <c r="P18">
        <f>O18/34</f>
        <v>0.62324929971988796</v>
      </c>
      <c r="Q18">
        <v>3</v>
      </c>
      <c r="R18">
        <f>Q18/D18</f>
        <v>0.14285714285714285</v>
      </c>
      <c r="S18">
        <v>1</v>
      </c>
      <c r="T18">
        <f t="shared" ref="T18:T25" si="11">S18/D18</f>
        <v>4.7619047619047616E-2</v>
      </c>
    </row>
    <row r="19" spans="1:20">
      <c r="A19" s="1"/>
      <c r="B19">
        <v>3</v>
      </c>
      <c r="C19" t="s">
        <v>2</v>
      </c>
      <c r="D19">
        <v>8</v>
      </c>
      <c r="E19">
        <f>D19/101</f>
        <v>7.9207920792079209E-2</v>
      </c>
      <c r="F19">
        <v>4</v>
      </c>
      <c r="G19">
        <f t="shared" si="6"/>
        <v>0.5</v>
      </c>
      <c r="H19">
        <v>3</v>
      </c>
      <c r="I19">
        <f t="shared" si="7"/>
        <v>0.375</v>
      </c>
      <c r="J19">
        <v>1</v>
      </c>
      <c r="K19">
        <f t="shared" si="8"/>
        <v>0.125</v>
      </c>
      <c r="L19">
        <v>0</v>
      </c>
      <c r="M19">
        <f t="shared" si="9"/>
        <v>0</v>
      </c>
      <c r="N19">
        <f t="shared" si="10"/>
        <v>4.375</v>
      </c>
      <c r="O19">
        <f>191/D19</f>
        <v>23.875</v>
      </c>
      <c r="P19">
        <f>O19/34</f>
        <v>0.70220588235294112</v>
      </c>
      <c r="Q19">
        <v>1</v>
      </c>
      <c r="R19">
        <f t="shared" ref="R19:R25" si="12">Q19/D19</f>
        <v>0.125</v>
      </c>
      <c r="S19">
        <v>0</v>
      </c>
      <c r="T19">
        <f t="shared" si="11"/>
        <v>0</v>
      </c>
    </row>
    <row r="20" spans="1:20">
      <c r="A20" s="1"/>
      <c r="B20">
        <v>4</v>
      </c>
      <c r="C20" t="s">
        <v>3</v>
      </c>
      <c r="D20">
        <v>5</v>
      </c>
      <c r="E20">
        <f>D20/46</f>
        <v>0.10869565217391304</v>
      </c>
      <c r="F20">
        <v>1</v>
      </c>
      <c r="G20">
        <f t="shared" si="6"/>
        <v>0.2</v>
      </c>
      <c r="H20">
        <v>3</v>
      </c>
      <c r="I20">
        <f t="shared" si="7"/>
        <v>0.6</v>
      </c>
      <c r="J20">
        <v>1</v>
      </c>
      <c r="K20">
        <f t="shared" si="8"/>
        <v>0.2</v>
      </c>
      <c r="L20">
        <v>0</v>
      </c>
      <c r="M20">
        <f t="shared" si="9"/>
        <v>0</v>
      </c>
      <c r="N20">
        <f t="shared" si="10"/>
        <v>4</v>
      </c>
      <c r="O20">
        <f>109/D20</f>
        <v>21.8</v>
      </c>
      <c r="P20">
        <f>O20/34</f>
        <v>0.64117647058823535</v>
      </c>
      <c r="Q20">
        <v>0</v>
      </c>
      <c r="R20">
        <f t="shared" si="12"/>
        <v>0</v>
      </c>
      <c r="S20">
        <v>0</v>
      </c>
      <c r="T20">
        <f t="shared" si="11"/>
        <v>0</v>
      </c>
    </row>
    <row r="21" spans="1:20">
      <c r="A21" s="1"/>
      <c r="B21">
        <v>5</v>
      </c>
      <c r="C21" t="s">
        <v>4</v>
      </c>
      <c r="G21" t="e">
        <f t="shared" si="6"/>
        <v>#DIV/0!</v>
      </c>
      <c r="I21" t="e">
        <f t="shared" si="7"/>
        <v>#DIV/0!</v>
      </c>
      <c r="K21" t="e">
        <f t="shared" si="8"/>
        <v>#DIV/0!</v>
      </c>
      <c r="M21" t="e">
        <f t="shared" si="9"/>
        <v>#DIV/0!</v>
      </c>
      <c r="N21" t="e">
        <f t="shared" si="10"/>
        <v>#DIV/0!</v>
      </c>
      <c r="R21" t="e">
        <f t="shared" si="12"/>
        <v>#DIV/0!</v>
      </c>
      <c r="T21" t="e">
        <f t="shared" si="11"/>
        <v>#DIV/0!</v>
      </c>
    </row>
    <row r="22" spans="1:20">
      <c r="A22" s="1"/>
      <c r="B22">
        <v>6</v>
      </c>
      <c r="C22" t="s">
        <v>5</v>
      </c>
      <c r="G22" t="e">
        <f t="shared" si="6"/>
        <v>#DIV/0!</v>
      </c>
      <c r="I22" t="e">
        <f t="shared" si="7"/>
        <v>#DIV/0!</v>
      </c>
      <c r="K22" t="e">
        <f t="shared" si="8"/>
        <v>#DIV/0!</v>
      </c>
      <c r="M22" t="e">
        <f t="shared" si="9"/>
        <v>#DIV/0!</v>
      </c>
      <c r="N22" t="e">
        <f t="shared" si="10"/>
        <v>#DIV/0!</v>
      </c>
      <c r="R22" t="e">
        <f t="shared" si="12"/>
        <v>#DIV/0!</v>
      </c>
      <c r="S22">
        <v>0</v>
      </c>
      <c r="T22" t="e">
        <f t="shared" si="11"/>
        <v>#DIV/0!</v>
      </c>
    </row>
    <row r="23" spans="1:20">
      <c r="A23" s="1"/>
      <c r="B23">
        <v>7</v>
      </c>
      <c r="C23" t="s">
        <v>16</v>
      </c>
      <c r="G23" t="e">
        <f t="shared" si="6"/>
        <v>#DIV/0!</v>
      </c>
      <c r="I23" t="e">
        <f t="shared" si="7"/>
        <v>#DIV/0!</v>
      </c>
      <c r="K23" t="e">
        <f t="shared" si="8"/>
        <v>#DIV/0!</v>
      </c>
      <c r="M23" t="e">
        <f t="shared" si="9"/>
        <v>#DIV/0!</v>
      </c>
      <c r="N23" t="e">
        <f t="shared" si="10"/>
        <v>#DIV/0!</v>
      </c>
      <c r="R23" t="e">
        <f t="shared" si="12"/>
        <v>#DIV/0!</v>
      </c>
      <c r="T23" t="e">
        <f t="shared" si="11"/>
        <v>#DIV/0!</v>
      </c>
    </row>
    <row r="24" spans="1:20">
      <c r="A24" s="1"/>
      <c r="B24">
        <v>8</v>
      </c>
      <c r="C24" t="s">
        <v>17</v>
      </c>
      <c r="E24">
        <f>D24/2</f>
        <v>0</v>
      </c>
      <c r="G24" t="e">
        <f t="shared" si="6"/>
        <v>#DIV/0!</v>
      </c>
      <c r="I24" t="e">
        <f t="shared" si="7"/>
        <v>#DIV/0!</v>
      </c>
      <c r="K24" t="e">
        <f t="shared" si="8"/>
        <v>#DIV/0!</v>
      </c>
      <c r="M24" t="e">
        <f t="shared" si="9"/>
        <v>#DIV/0!</v>
      </c>
      <c r="N24" t="e">
        <f t="shared" si="10"/>
        <v>#DIV/0!</v>
      </c>
      <c r="R24" t="e">
        <f t="shared" si="12"/>
        <v>#DIV/0!</v>
      </c>
      <c r="T24" t="e">
        <f t="shared" si="11"/>
        <v>#DIV/0!</v>
      </c>
    </row>
    <row r="25" spans="1:20">
      <c r="A25" s="1"/>
      <c r="C25" t="s">
        <v>6</v>
      </c>
      <c r="D25">
        <f>SUM(D17:D24)</f>
        <v>41</v>
      </c>
      <c r="E25">
        <f>D25/257</f>
        <v>0.15953307392996108</v>
      </c>
      <c r="F25">
        <f>SUM(F17:F24)</f>
        <v>15</v>
      </c>
      <c r="G25">
        <f>F25/D25</f>
        <v>0.36585365853658536</v>
      </c>
      <c r="H25">
        <f>SUM(H17:H24)</f>
        <v>14</v>
      </c>
      <c r="I25">
        <f t="shared" si="7"/>
        <v>0.34146341463414637</v>
      </c>
      <c r="J25">
        <f>SUM(J17:J24)</f>
        <v>12</v>
      </c>
      <c r="K25">
        <f t="shared" si="8"/>
        <v>0.29268292682926828</v>
      </c>
      <c r="L25">
        <f>SUM(L17:L24)</f>
        <v>0</v>
      </c>
      <c r="M25">
        <f t="shared" si="9"/>
        <v>0</v>
      </c>
      <c r="N25">
        <f t="shared" si="10"/>
        <v>4.0731707317073171</v>
      </c>
      <c r="O25">
        <f>945/D25</f>
        <v>23.048780487804876</v>
      </c>
      <c r="P25">
        <f>945/(D25*34)</f>
        <v>0.67790530846484931</v>
      </c>
      <c r="Q25">
        <f>SUM(Q17:Q24)</f>
        <v>6</v>
      </c>
      <c r="R25">
        <f t="shared" si="12"/>
        <v>0.14634146341463414</v>
      </c>
      <c r="S25">
        <f>SUM(S17:S24)</f>
        <v>1</v>
      </c>
      <c r="T25">
        <f t="shared" si="11"/>
        <v>2.4390243902439025E-2</v>
      </c>
    </row>
    <row r="26" spans="1:20">
      <c r="A26" s="1"/>
      <c r="C26" t="s">
        <v>21</v>
      </c>
      <c r="M26">
        <v>1.64</v>
      </c>
      <c r="N26">
        <v>4.13</v>
      </c>
      <c r="O26">
        <v>23.06</v>
      </c>
    </row>
    <row r="28" spans="1:20">
      <c r="B28" s="1" t="s">
        <v>145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0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N29" s="1" t="s">
        <v>24</v>
      </c>
      <c r="O29" s="1" t="s">
        <v>14</v>
      </c>
      <c r="P29" s="1" t="s">
        <v>34</v>
      </c>
      <c r="Q29" s="1" t="s">
        <v>35</v>
      </c>
      <c r="R29" s="1"/>
      <c r="S29" s="1" t="s">
        <v>150</v>
      </c>
      <c r="T29" s="1"/>
    </row>
    <row r="30" spans="1:20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N30" s="1"/>
      <c r="O30" s="1"/>
      <c r="P30" s="1"/>
      <c r="Q30" t="s">
        <v>8</v>
      </c>
      <c r="R30" t="s">
        <v>10</v>
      </c>
      <c r="S30" t="s">
        <v>8</v>
      </c>
      <c r="T30" t="s">
        <v>10</v>
      </c>
    </row>
    <row r="31" spans="1:20">
      <c r="A31" s="1"/>
      <c r="B31">
        <v>1</v>
      </c>
      <c r="C31" t="s">
        <v>0</v>
      </c>
      <c r="D31">
        <v>6</v>
      </c>
      <c r="E31">
        <f>D31/51</f>
        <v>0.11764705882352941</v>
      </c>
      <c r="F31">
        <v>1</v>
      </c>
      <c r="G31">
        <f>F31/D31</f>
        <v>0.16666666666666666</v>
      </c>
      <c r="H31">
        <v>4</v>
      </c>
      <c r="I31">
        <f>H31/D31</f>
        <v>0.66666666666666663</v>
      </c>
      <c r="J31">
        <v>1</v>
      </c>
      <c r="K31">
        <f>J31/D31</f>
        <v>0.16666666666666666</v>
      </c>
      <c r="L31">
        <v>0</v>
      </c>
      <c r="M31">
        <f>L31/D31</f>
        <v>0</v>
      </c>
      <c r="N31">
        <f>(F31*5+H31*4+J31*3+L31*2)/D31</f>
        <v>4</v>
      </c>
      <c r="O31">
        <f>135/D31</f>
        <v>22.5</v>
      </c>
      <c r="P31">
        <f>O31/34</f>
        <v>0.66176470588235292</v>
      </c>
      <c r="Q31">
        <v>1</v>
      </c>
      <c r="R31">
        <f>Q31/D31</f>
        <v>0.16666666666666666</v>
      </c>
      <c r="S31">
        <v>0</v>
      </c>
      <c r="T31">
        <f>S31/D31</f>
        <v>0</v>
      </c>
    </row>
    <row r="32" spans="1:20">
      <c r="A32" s="1"/>
      <c r="B32">
        <v>2</v>
      </c>
      <c r="C32" t="s">
        <v>1</v>
      </c>
      <c r="D32">
        <v>17</v>
      </c>
      <c r="E32">
        <f>D32/35</f>
        <v>0.48571428571428571</v>
      </c>
      <c r="F32">
        <v>4</v>
      </c>
      <c r="G32">
        <f t="shared" ref="G32:G38" si="13">F32/D32</f>
        <v>0.23529411764705882</v>
      </c>
      <c r="H32">
        <v>11</v>
      </c>
      <c r="I32">
        <f t="shared" ref="I32:I39" si="14">H32/D32</f>
        <v>0.6470588235294118</v>
      </c>
      <c r="J32">
        <v>2</v>
      </c>
      <c r="K32">
        <f t="shared" ref="K32:K39" si="15">J32/D32</f>
        <v>0.11764705882352941</v>
      </c>
      <c r="L32">
        <v>0</v>
      </c>
      <c r="M32">
        <f t="shared" ref="M32:M39" si="16">L32/D32</f>
        <v>0</v>
      </c>
      <c r="N32">
        <f t="shared" ref="N32:N39" si="17">(F32*5+H32*4+J32*3+L32*2)/D32</f>
        <v>4.117647058823529</v>
      </c>
      <c r="O32">
        <f>387/D32</f>
        <v>22.764705882352942</v>
      </c>
      <c r="P32">
        <f>O32/34</f>
        <v>0.66955017301038067</v>
      </c>
      <c r="Q32">
        <v>2</v>
      </c>
      <c r="R32">
        <f>Q32/D32</f>
        <v>0.11764705882352941</v>
      </c>
      <c r="S32">
        <v>0</v>
      </c>
      <c r="T32">
        <f t="shared" ref="T32:T39" si="18">S32/D32</f>
        <v>0</v>
      </c>
    </row>
    <row r="33" spans="1:20">
      <c r="A33" s="1"/>
      <c r="B33">
        <v>3</v>
      </c>
      <c r="C33" t="s">
        <v>2</v>
      </c>
      <c r="D33">
        <v>5</v>
      </c>
      <c r="E33">
        <f>D33/97</f>
        <v>5.1546391752577317E-2</v>
      </c>
      <c r="F33">
        <v>1</v>
      </c>
      <c r="G33">
        <f t="shared" si="13"/>
        <v>0.2</v>
      </c>
      <c r="H33">
        <v>3</v>
      </c>
      <c r="I33">
        <f t="shared" si="14"/>
        <v>0.6</v>
      </c>
      <c r="J33">
        <v>1</v>
      </c>
      <c r="K33">
        <f t="shared" si="15"/>
        <v>0.2</v>
      </c>
      <c r="L33">
        <v>0</v>
      </c>
      <c r="M33">
        <f t="shared" si="16"/>
        <v>0</v>
      </c>
      <c r="N33">
        <f t="shared" si="17"/>
        <v>4</v>
      </c>
      <c r="O33">
        <f>113/D33</f>
        <v>22.6</v>
      </c>
      <c r="P33">
        <f>O33/34</f>
        <v>0.66470588235294126</v>
      </c>
      <c r="Q33">
        <v>0</v>
      </c>
      <c r="R33">
        <f t="shared" ref="R33:R39" si="19">Q33/D33</f>
        <v>0</v>
      </c>
      <c r="S33">
        <v>0</v>
      </c>
      <c r="T33">
        <f t="shared" si="18"/>
        <v>0</v>
      </c>
    </row>
    <row r="34" spans="1:20">
      <c r="A34" s="1"/>
      <c r="B34">
        <v>4</v>
      </c>
      <c r="C34" t="s">
        <v>3</v>
      </c>
      <c r="D34">
        <v>6</v>
      </c>
      <c r="E34">
        <f>D34/52</f>
        <v>0.11538461538461539</v>
      </c>
      <c r="F34">
        <v>2</v>
      </c>
      <c r="G34">
        <f t="shared" si="13"/>
        <v>0.33333333333333331</v>
      </c>
      <c r="H34">
        <v>3</v>
      </c>
      <c r="I34">
        <f t="shared" si="14"/>
        <v>0.5</v>
      </c>
      <c r="J34">
        <v>1</v>
      </c>
      <c r="K34">
        <f t="shared" si="15"/>
        <v>0.16666666666666666</v>
      </c>
      <c r="L34">
        <v>0</v>
      </c>
      <c r="M34">
        <f t="shared" si="16"/>
        <v>0</v>
      </c>
      <c r="N34">
        <f t="shared" si="17"/>
        <v>4.166666666666667</v>
      </c>
      <c r="O34">
        <f>141/D34</f>
        <v>23.5</v>
      </c>
      <c r="P34">
        <f>O34/34</f>
        <v>0.69117647058823528</v>
      </c>
      <c r="Q34">
        <v>0</v>
      </c>
      <c r="R34">
        <f t="shared" si="19"/>
        <v>0</v>
      </c>
      <c r="S34">
        <v>0</v>
      </c>
      <c r="T34">
        <f t="shared" si="18"/>
        <v>0</v>
      </c>
    </row>
    <row r="35" spans="1:20">
      <c r="A35" s="1"/>
      <c r="B35">
        <v>5</v>
      </c>
      <c r="C35" t="s">
        <v>4</v>
      </c>
      <c r="G35" t="e">
        <f t="shared" si="13"/>
        <v>#DIV/0!</v>
      </c>
      <c r="I35" t="e">
        <f t="shared" si="14"/>
        <v>#DIV/0!</v>
      </c>
      <c r="K35" t="e">
        <f t="shared" si="15"/>
        <v>#DIV/0!</v>
      </c>
      <c r="M35" t="e">
        <f t="shared" si="16"/>
        <v>#DIV/0!</v>
      </c>
      <c r="N35" t="e">
        <f t="shared" si="17"/>
        <v>#DIV/0!</v>
      </c>
      <c r="R35" t="e">
        <f t="shared" si="19"/>
        <v>#DIV/0!</v>
      </c>
      <c r="T35" t="e">
        <f t="shared" si="18"/>
        <v>#DIV/0!</v>
      </c>
    </row>
    <row r="36" spans="1:20">
      <c r="A36" s="1"/>
      <c r="B36">
        <v>6</v>
      </c>
      <c r="C36" t="s">
        <v>5</v>
      </c>
      <c r="G36" t="e">
        <f t="shared" si="13"/>
        <v>#DIV/0!</v>
      </c>
      <c r="I36" t="e">
        <f t="shared" si="14"/>
        <v>#DIV/0!</v>
      </c>
      <c r="K36" t="e">
        <f t="shared" si="15"/>
        <v>#DIV/0!</v>
      </c>
      <c r="M36" t="e">
        <f t="shared" si="16"/>
        <v>#DIV/0!</v>
      </c>
      <c r="N36" t="e">
        <f t="shared" si="17"/>
        <v>#DIV/0!</v>
      </c>
      <c r="R36" t="e">
        <f t="shared" si="19"/>
        <v>#DIV/0!</v>
      </c>
      <c r="S36">
        <v>0</v>
      </c>
      <c r="T36" t="e">
        <f t="shared" si="18"/>
        <v>#DIV/0!</v>
      </c>
    </row>
    <row r="37" spans="1:20">
      <c r="A37" s="1"/>
      <c r="B37">
        <v>7</v>
      </c>
      <c r="C37" t="s">
        <v>16</v>
      </c>
      <c r="G37" t="e">
        <f t="shared" si="13"/>
        <v>#DIV/0!</v>
      </c>
      <c r="I37" t="e">
        <f t="shared" si="14"/>
        <v>#DIV/0!</v>
      </c>
      <c r="K37" t="e">
        <f t="shared" si="15"/>
        <v>#DIV/0!</v>
      </c>
      <c r="M37" t="e">
        <f t="shared" si="16"/>
        <v>#DIV/0!</v>
      </c>
      <c r="N37" t="e">
        <f t="shared" si="17"/>
        <v>#DIV/0!</v>
      </c>
      <c r="R37" t="e">
        <f t="shared" si="19"/>
        <v>#DIV/0!</v>
      </c>
      <c r="T37" t="e">
        <f t="shared" si="18"/>
        <v>#DIV/0!</v>
      </c>
    </row>
    <row r="38" spans="1:20">
      <c r="A38" s="1"/>
      <c r="B38">
        <v>8</v>
      </c>
      <c r="C38" t="s">
        <v>17</v>
      </c>
      <c r="E38">
        <f>D38/5</f>
        <v>0</v>
      </c>
      <c r="G38" t="e">
        <f t="shared" si="13"/>
        <v>#DIV/0!</v>
      </c>
      <c r="I38" t="e">
        <f t="shared" si="14"/>
        <v>#DIV/0!</v>
      </c>
      <c r="K38" t="e">
        <f t="shared" si="15"/>
        <v>#DIV/0!</v>
      </c>
      <c r="M38" t="e">
        <f t="shared" si="16"/>
        <v>#DIV/0!</v>
      </c>
      <c r="N38" t="e">
        <f t="shared" si="17"/>
        <v>#DIV/0!</v>
      </c>
      <c r="R38" t="e">
        <f t="shared" si="19"/>
        <v>#DIV/0!</v>
      </c>
      <c r="T38" t="e">
        <f t="shared" si="18"/>
        <v>#DIV/0!</v>
      </c>
    </row>
    <row r="39" spans="1:20">
      <c r="A39" s="1"/>
      <c r="C39" t="s">
        <v>6</v>
      </c>
      <c r="D39">
        <f>SUM(D31:D38)</f>
        <v>34</v>
      </c>
      <c r="E39">
        <f>D39/260</f>
        <v>0.13076923076923078</v>
      </c>
      <c r="F39">
        <f>SUM(F31:F38)</f>
        <v>8</v>
      </c>
      <c r="G39">
        <f>F39/D39</f>
        <v>0.23529411764705882</v>
      </c>
      <c r="H39">
        <f>SUM(H31:H38)</f>
        <v>21</v>
      </c>
      <c r="I39">
        <f t="shared" si="14"/>
        <v>0.61764705882352944</v>
      </c>
      <c r="J39">
        <f>SUM(J31:J38)</f>
        <v>5</v>
      </c>
      <c r="K39">
        <f t="shared" si="15"/>
        <v>0.14705882352941177</v>
      </c>
      <c r="L39">
        <v>1</v>
      </c>
      <c r="M39">
        <f t="shared" si="16"/>
        <v>2.9411764705882353E-2</v>
      </c>
      <c r="N39">
        <f t="shared" si="17"/>
        <v>4.1470588235294121</v>
      </c>
      <c r="O39">
        <f>776/D39</f>
        <v>22.823529411764707</v>
      </c>
      <c r="P39">
        <f>776/(D39*34)</f>
        <v>0.67128027681660896</v>
      </c>
      <c r="Q39">
        <f>SUM(Q31:Q38)</f>
        <v>3</v>
      </c>
      <c r="R39">
        <f t="shared" si="19"/>
        <v>8.8235294117647065E-2</v>
      </c>
      <c r="S39">
        <f>SUM(S31:S38)</f>
        <v>0</v>
      </c>
      <c r="T39">
        <f t="shared" si="18"/>
        <v>0</v>
      </c>
    </row>
    <row r="40" spans="1:20">
      <c r="A40" s="1"/>
      <c r="C40" t="s">
        <v>21</v>
      </c>
    </row>
    <row r="41" spans="1:20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N41" s="1" t="s">
        <v>24</v>
      </c>
      <c r="O41" s="1" t="s">
        <v>14</v>
      </c>
      <c r="P41" s="1" t="s">
        <v>34</v>
      </c>
      <c r="Q41" s="1" t="s">
        <v>35</v>
      </c>
      <c r="R41" s="1"/>
      <c r="S41" s="1" t="s">
        <v>42</v>
      </c>
      <c r="T41" s="1"/>
    </row>
    <row r="42" spans="1:20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N42" s="1"/>
      <c r="O42" s="1"/>
      <c r="P42" s="1"/>
      <c r="Q42" t="s">
        <v>8</v>
      </c>
      <c r="R42" t="s">
        <v>10</v>
      </c>
      <c r="S42" t="s">
        <v>8</v>
      </c>
      <c r="T42" t="s">
        <v>10</v>
      </c>
    </row>
    <row r="43" spans="1:20">
      <c r="A43" s="1"/>
      <c r="B43">
        <v>1</v>
      </c>
      <c r="C43" t="s">
        <v>0</v>
      </c>
      <c r="D43">
        <v>6</v>
      </c>
      <c r="E43">
        <f>D43/53</f>
        <v>0.11320754716981132</v>
      </c>
      <c r="F43">
        <v>3</v>
      </c>
      <c r="G43">
        <f>F43/D43</f>
        <v>0.5</v>
      </c>
      <c r="H43">
        <v>2</v>
      </c>
      <c r="I43">
        <f>H43/D43</f>
        <v>0.33333333333333331</v>
      </c>
      <c r="J43">
        <v>1</v>
      </c>
      <c r="K43">
        <f>J43/D43</f>
        <v>0.16666666666666666</v>
      </c>
      <c r="L43">
        <v>0</v>
      </c>
      <c r="M43">
        <f>L43/D43</f>
        <v>0</v>
      </c>
      <c r="N43">
        <f>(F43*5+H43*4+J43*3+L43*2)/D43</f>
        <v>4.333333333333333</v>
      </c>
      <c r="O43">
        <f>(32+14+20+31+30+25)/D43</f>
        <v>25.333333333333332</v>
      </c>
      <c r="P43">
        <f>O43/34</f>
        <v>0.74509803921568629</v>
      </c>
      <c r="Q43">
        <v>1</v>
      </c>
      <c r="R43">
        <f>Q43/D43</f>
        <v>0.16666666666666666</v>
      </c>
      <c r="S43">
        <v>3</v>
      </c>
      <c r="T43">
        <f>S43/D43</f>
        <v>0.5</v>
      </c>
    </row>
    <row r="44" spans="1:20">
      <c r="A44" s="1"/>
      <c r="B44">
        <v>2</v>
      </c>
      <c r="C44" t="s">
        <v>1</v>
      </c>
      <c r="D44">
        <v>20</v>
      </c>
      <c r="E44">
        <f>D44/45</f>
        <v>0.44444444444444442</v>
      </c>
      <c r="F44">
        <v>5</v>
      </c>
      <c r="G44">
        <f t="shared" ref="G44:G50" si="20">F44/D44</f>
        <v>0.25</v>
      </c>
      <c r="H44">
        <v>11</v>
      </c>
      <c r="I44">
        <f t="shared" ref="I44:I51" si="21">H44/D44</f>
        <v>0.55000000000000004</v>
      </c>
      <c r="J44">
        <v>4</v>
      </c>
      <c r="K44">
        <f t="shared" ref="K44:K51" si="22">J44/D44</f>
        <v>0.2</v>
      </c>
      <c r="L44">
        <v>0</v>
      </c>
      <c r="M44">
        <f t="shared" ref="M44:M51" si="23">L44/D44</f>
        <v>0</v>
      </c>
      <c r="N44">
        <f t="shared" ref="N44:N51" si="24">(F44*5+H44*4+J44*3+L44*2)/D44</f>
        <v>4.05</v>
      </c>
      <c r="O44">
        <f>468/D44</f>
        <v>23.4</v>
      </c>
      <c r="P44">
        <f>O44/34</f>
        <v>0.68823529411764706</v>
      </c>
      <c r="Q44">
        <v>3</v>
      </c>
      <c r="R44">
        <f>Q44/D44</f>
        <v>0.15</v>
      </c>
      <c r="S44">
        <v>0</v>
      </c>
      <c r="T44">
        <f t="shared" ref="T44:T51" si="25">S44/D44</f>
        <v>0</v>
      </c>
    </row>
    <row r="45" spans="1:20">
      <c r="A45" s="1"/>
      <c r="B45">
        <v>3</v>
      </c>
      <c r="C45" t="s">
        <v>2</v>
      </c>
      <c r="D45">
        <v>10</v>
      </c>
      <c r="E45">
        <f>D45/103</f>
        <v>9.7087378640776698E-2</v>
      </c>
      <c r="F45">
        <v>1</v>
      </c>
      <c r="G45">
        <f t="shared" si="20"/>
        <v>0.1</v>
      </c>
      <c r="H45">
        <v>4</v>
      </c>
      <c r="I45">
        <f t="shared" si="21"/>
        <v>0.4</v>
      </c>
      <c r="J45">
        <v>5</v>
      </c>
      <c r="K45">
        <f t="shared" si="22"/>
        <v>0.5</v>
      </c>
      <c r="L45">
        <v>1</v>
      </c>
      <c r="M45">
        <f t="shared" si="23"/>
        <v>0.1</v>
      </c>
      <c r="N45">
        <f t="shared" si="24"/>
        <v>3.8</v>
      </c>
      <c r="O45">
        <f>193/D45</f>
        <v>19.3</v>
      </c>
      <c r="P45">
        <f>O45/34</f>
        <v>0.56764705882352939</v>
      </c>
      <c r="Q45">
        <v>1</v>
      </c>
      <c r="R45">
        <f t="shared" ref="R45:R51" si="26">Q45/D45</f>
        <v>0.1</v>
      </c>
      <c r="S45">
        <v>1</v>
      </c>
      <c r="T45">
        <f t="shared" si="25"/>
        <v>0.1</v>
      </c>
    </row>
    <row r="46" spans="1:20">
      <c r="A46" s="1"/>
      <c r="B46">
        <v>4</v>
      </c>
      <c r="C46" t="s">
        <v>3</v>
      </c>
      <c r="D46">
        <v>11</v>
      </c>
      <c r="E46">
        <f>D46/36</f>
        <v>0.30555555555555558</v>
      </c>
      <c r="F46">
        <v>2</v>
      </c>
      <c r="G46">
        <f t="shared" si="20"/>
        <v>0.18181818181818182</v>
      </c>
      <c r="H46">
        <v>3</v>
      </c>
      <c r="I46">
        <f t="shared" si="21"/>
        <v>0.27272727272727271</v>
      </c>
      <c r="J46">
        <v>6</v>
      </c>
      <c r="K46">
        <f t="shared" si="22"/>
        <v>0.54545454545454541</v>
      </c>
      <c r="L46">
        <v>0</v>
      </c>
      <c r="M46">
        <f t="shared" si="23"/>
        <v>0</v>
      </c>
      <c r="N46">
        <f t="shared" si="24"/>
        <v>3.6363636363636362</v>
      </c>
      <c r="O46">
        <f>203/D46</f>
        <v>18.454545454545453</v>
      </c>
      <c r="P46">
        <f>O46/34</f>
        <v>0.54278074866310155</v>
      </c>
      <c r="Q46">
        <v>0</v>
      </c>
      <c r="R46">
        <f t="shared" si="26"/>
        <v>0</v>
      </c>
      <c r="S46">
        <v>0</v>
      </c>
      <c r="T46">
        <f t="shared" si="25"/>
        <v>0</v>
      </c>
    </row>
    <row r="47" spans="1:20">
      <c r="A47" s="1"/>
      <c r="B47">
        <v>5</v>
      </c>
      <c r="C47" t="s">
        <v>4</v>
      </c>
      <c r="G47" t="e">
        <f t="shared" si="20"/>
        <v>#DIV/0!</v>
      </c>
      <c r="I47" t="e">
        <f t="shared" si="21"/>
        <v>#DIV/0!</v>
      </c>
      <c r="K47" t="e">
        <f t="shared" si="22"/>
        <v>#DIV/0!</v>
      </c>
      <c r="M47" t="e">
        <f t="shared" si="23"/>
        <v>#DIV/0!</v>
      </c>
      <c r="N47" t="e">
        <f t="shared" si="24"/>
        <v>#DIV/0!</v>
      </c>
      <c r="R47" t="e">
        <f t="shared" si="26"/>
        <v>#DIV/0!</v>
      </c>
      <c r="T47" t="e">
        <f t="shared" si="25"/>
        <v>#DIV/0!</v>
      </c>
    </row>
    <row r="48" spans="1:20">
      <c r="A48" s="1"/>
      <c r="B48">
        <v>6</v>
      </c>
      <c r="C48" t="s">
        <v>5</v>
      </c>
      <c r="G48" t="e">
        <f t="shared" si="20"/>
        <v>#DIV/0!</v>
      </c>
      <c r="I48" t="e">
        <f t="shared" si="21"/>
        <v>#DIV/0!</v>
      </c>
      <c r="K48" t="e">
        <f t="shared" si="22"/>
        <v>#DIV/0!</v>
      </c>
      <c r="M48" t="e">
        <f t="shared" si="23"/>
        <v>#DIV/0!</v>
      </c>
      <c r="N48" t="e">
        <f t="shared" si="24"/>
        <v>#DIV/0!</v>
      </c>
      <c r="R48" t="e">
        <f t="shared" si="26"/>
        <v>#DIV/0!</v>
      </c>
      <c r="T48" t="e">
        <f t="shared" si="25"/>
        <v>#DIV/0!</v>
      </c>
    </row>
    <row r="49" spans="1:20">
      <c r="A49" s="1"/>
      <c r="B49">
        <v>7</v>
      </c>
      <c r="C49" t="s">
        <v>16</v>
      </c>
      <c r="G49" t="e">
        <f t="shared" si="20"/>
        <v>#DIV/0!</v>
      </c>
      <c r="I49" t="e">
        <f t="shared" si="21"/>
        <v>#DIV/0!</v>
      </c>
      <c r="K49" t="e">
        <f t="shared" si="22"/>
        <v>#DIV/0!</v>
      </c>
      <c r="M49" t="e">
        <f t="shared" si="23"/>
        <v>#DIV/0!</v>
      </c>
      <c r="N49" t="e">
        <f t="shared" si="24"/>
        <v>#DIV/0!</v>
      </c>
      <c r="R49" t="e">
        <f t="shared" si="26"/>
        <v>#DIV/0!</v>
      </c>
      <c r="T49" t="e">
        <f t="shared" si="25"/>
        <v>#DIV/0!</v>
      </c>
    </row>
    <row r="50" spans="1:20">
      <c r="A50" s="1"/>
      <c r="B50">
        <v>8</v>
      </c>
      <c r="C50" t="s">
        <v>17</v>
      </c>
      <c r="E50">
        <f>D50/5</f>
        <v>0</v>
      </c>
      <c r="G50" t="e">
        <f t="shared" si="20"/>
        <v>#DIV/0!</v>
      </c>
      <c r="I50" t="e">
        <f t="shared" si="21"/>
        <v>#DIV/0!</v>
      </c>
      <c r="K50" t="e">
        <f t="shared" si="22"/>
        <v>#DIV/0!</v>
      </c>
      <c r="M50" t="e">
        <f t="shared" si="23"/>
        <v>#DIV/0!</v>
      </c>
      <c r="N50" t="e">
        <f t="shared" si="24"/>
        <v>#DIV/0!</v>
      </c>
      <c r="R50" t="e">
        <f t="shared" si="26"/>
        <v>#DIV/0!</v>
      </c>
      <c r="T50" t="e">
        <f t="shared" si="25"/>
        <v>#DIV/0!</v>
      </c>
    </row>
    <row r="51" spans="1:20">
      <c r="A51" s="1"/>
      <c r="C51" t="s">
        <v>6</v>
      </c>
      <c r="D51">
        <f>SUM(D43:D50)</f>
        <v>47</v>
      </c>
      <c r="E51">
        <f>D51/262</f>
        <v>0.17938931297709923</v>
      </c>
      <c r="F51">
        <f>SUM(F43:F50)</f>
        <v>11</v>
      </c>
      <c r="G51">
        <f>F51/D51</f>
        <v>0.23404255319148937</v>
      </c>
      <c r="H51">
        <f>SUM(H43:H50)</f>
        <v>20</v>
      </c>
      <c r="I51">
        <f t="shared" si="21"/>
        <v>0.42553191489361702</v>
      </c>
      <c r="J51">
        <f>SUM(J43:J50)</f>
        <v>16</v>
      </c>
      <c r="K51">
        <f t="shared" si="22"/>
        <v>0.34042553191489361</v>
      </c>
      <c r="L51">
        <v>1</v>
      </c>
      <c r="M51">
        <f t="shared" si="23"/>
        <v>2.1276595744680851E-2</v>
      </c>
      <c r="N51">
        <f t="shared" si="24"/>
        <v>3.9361702127659575</v>
      </c>
      <c r="O51">
        <f>1016/D51</f>
        <v>21.617021276595743</v>
      </c>
      <c r="P51">
        <f>1016/(D51*34)</f>
        <v>0.63579474342928666</v>
      </c>
      <c r="Q51">
        <f>SUM(Q43:Q50)</f>
        <v>5</v>
      </c>
      <c r="R51">
        <f t="shared" si="26"/>
        <v>0.10638297872340426</v>
      </c>
      <c r="S51">
        <f>SUM(S43:S50)</f>
        <v>4</v>
      </c>
      <c r="T51">
        <f t="shared" si="25"/>
        <v>8.5106382978723402E-2</v>
      </c>
    </row>
    <row r="52" spans="1:20">
      <c r="A52" s="1"/>
      <c r="C52" t="s">
        <v>21</v>
      </c>
    </row>
  </sheetData>
  <mergeCells count="47">
    <mergeCell ref="P2:P3"/>
    <mergeCell ref="Q2:R2"/>
    <mergeCell ref="S2:T2"/>
    <mergeCell ref="B1:O1"/>
    <mergeCell ref="A2:A13"/>
    <mergeCell ref="D2:E2"/>
    <mergeCell ref="F2:G2"/>
    <mergeCell ref="H2:I2"/>
    <mergeCell ref="J2:K2"/>
    <mergeCell ref="L2:M2"/>
    <mergeCell ref="N2:N3"/>
    <mergeCell ref="O2:O3"/>
    <mergeCell ref="A29:A40"/>
    <mergeCell ref="N29:N30"/>
    <mergeCell ref="A41:A52"/>
    <mergeCell ref="Q41:R41"/>
    <mergeCell ref="P41:P42"/>
    <mergeCell ref="D41:E41"/>
    <mergeCell ref="F41:G41"/>
    <mergeCell ref="H41:I41"/>
    <mergeCell ref="J41:K41"/>
    <mergeCell ref="L41:M41"/>
    <mergeCell ref="F29:G29"/>
    <mergeCell ref="H29:I29"/>
    <mergeCell ref="J29:K29"/>
    <mergeCell ref="L29:M29"/>
    <mergeCell ref="B28:O28"/>
    <mergeCell ref="D29:E29"/>
    <mergeCell ref="S29:T29"/>
    <mergeCell ref="S41:T41"/>
    <mergeCell ref="N41:N42"/>
    <mergeCell ref="O41:O42"/>
    <mergeCell ref="O29:O30"/>
    <mergeCell ref="P29:P30"/>
    <mergeCell ref="Q29:R29"/>
    <mergeCell ref="S15:T15"/>
    <mergeCell ref="B14:O14"/>
    <mergeCell ref="A15:A26"/>
    <mergeCell ref="D15:E15"/>
    <mergeCell ref="F15:G15"/>
    <mergeCell ref="H15:I15"/>
    <mergeCell ref="J15:K15"/>
    <mergeCell ref="L15:M15"/>
    <mergeCell ref="N15:N16"/>
    <mergeCell ref="O15:O16"/>
    <mergeCell ref="P15:P16"/>
    <mergeCell ref="Q15:R1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3"/>
  <sheetViews>
    <sheetView view="pageBreakPreview" zoomScaleSheetLayoutView="100" workbookViewId="0">
      <selection activeCell="C4" sqref="C4:C9"/>
    </sheetView>
  </sheetViews>
  <sheetFormatPr defaultRowHeight="15"/>
  <cols>
    <col min="2" max="2" width="3.7109375" customWidth="1"/>
    <col min="3" max="3" width="10.42578125" customWidth="1"/>
    <col min="4" max="4" width="4.5703125" customWidth="1"/>
    <col min="5" max="5" width="10" customWidth="1"/>
    <col min="6" max="6" width="4.28515625" customWidth="1"/>
    <col min="7" max="7" width="10.85546875" customWidth="1"/>
    <col min="8" max="8" width="5.5703125" customWidth="1"/>
    <col min="9" max="9" width="9.28515625" bestFit="1" customWidth="1"/>
    <col min="10" max="10" width="4.85546875" customWidth="1"/>
    <col min="11" max="11" width="9.28515625" bestFit="1" customWidth="1"/>
    <col min="12" max="12" width="5.42578125" customWidth="1"/>
    <col min="13" max="13" width="9.28515625" bestFit="1" customWidth="1"/>
    <col min="14" max="14" width="7.5703125" customWidth="1"/>
    <col min="15" max="15" width="7.42578125" customWidth="1"/>
    <col min="16" max="16" width="13.42578125" customWidth="1"/>
    <col min="17" max="17" width="7.5703125" customWidth="1"/>
    <col min="18" max="18" width="6.85546875" customWidth="1"/>
    <col min="19" max="19" width="6.5703125" customWidth="1"/>
    <col min="20" max="20" width="6.85546875" customWidth="1"/>
  </cols>
  <sheetData>
    <row r="1" spans="1:20" ht="15" customHeight="1">
      <c r="A1" s="1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2.25" customHeight="1">
      <c r="A2" s="1" t="s">
        <v>180</v>
      </c>
      <c r="B2" t="s">
        <v>127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24</v>
      </c>
      <c r="O2" s="1" t="s">
        <v>14</v>
      </c>
      <c r="P2" s="1" t="s">
        <v>197</v>
      </c>
      <c r="Q2" s="1" t="s">
        <v>222</v>
      </c>
      <c r="R2" s="1"/>
      <c r="S2" s="1" t="s">
        <v>198</v>
      </c>
      <c r="T2" s="1"/>
    </row>
    <row r="3" spans="1:20" ht="78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s="1"/>
      <c r="O3" s="1"/>
      <c r="P3" s="1"/>
      <c r="Q3" t="s">
        <v>8</v>
      </c>
      <c r="R3" t="s">
        <v>10</v>
      </c>
      <c r="S3" t="s">
        <v>8</v>
      </c>
      <c r="T3" t="s">
        <v>10</v>
      </c>
    </row>
    <row r="4" spans="1:20" ht="17.25" customHeight="1">
      <c r="A4" s="1"/>
      <c r="B4">
        <v>1</v>
      </c>
      <c r="C4" t="s">
        <v>0</v>
      </c>
      <c r="D4">
        <v>3</v>
      </c>
      <c r="E4">
        <f>D4/56</f>
        <v>5.3571428571428568E-2</v>
      </c>
      <c r="F4">
        <v>0</v>
      </c>
      <c r="G4">
        <f>F4/D4</f>
        <v>0</v>
      </c>
      <c r="H4">
        <v>2</v>
      </c>
      <c r="I4">
        <f>H4/D4</f>
        <v>0.66666666666666663</v>
      </c>
      <c r="J4">
        <v>1</v>
      </c>
      <c r="K4">
        <f>J4/D4</f>
        <v>0.33333333333333331</v>
      </c>
      <c r="L4">
        <v>0</v>
      </c>
      <c r="M4">
        <f>L4/D4</f>
        <v>0</v>
      </c>
      <c r="N4">
        <v>3.66</v>
      </c>
      <c r="O4">
        <f>66/D4</f>
        <v>22</v>
      </c>
      <c r="P4">
        <f>O4/37</f>
        <v>0.59459459459459463</v>
      </c>
      <c r="Q4">
        <v>0</v>
      </c>
      <c r="R4">
        <f>Q4/D4</f>
        <v>0</v>
      </c>
      <c r="S4">
        <v>0</v>
      </c>
      <c r="T4">
        <f>S4/D4</f>
        <v>0</v>
      </c>
    </row>
    <row r="5" spans="1:20" ht="19.5" customHeight="1">
      <c r="A5" s="1"/>
      <c r="B5">
        <v>2</v>
      </c>
      <c r="C5" t="s">
        <v>1</v>
      </c>
      <c r="D5">
        <v>0</v>
      </c>
      <c r="E5">
        <f>D5/40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>
      <c r="A6" s="1"/>
      <c r="B6">
        <v>3</v>
      </c>
      <c r="C6" t="s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>
      <c r="A7" s="1"/>
      <c r="B7">
        <v>4</v>
      </c>
      <c r="C7" t="s">
        <v>3</v>
      </c>
      <c r="D7">
        <v>3</v>
      </c>
      <c r="E7">
        <f>D7/69</f>
        <v>4.3478260869565216E-2</v>
      </c>
      <c r="F7">
        <v>1</v>
      </c>
      <c r="G7">
        <f>F7/D7</f>
        <v>0.33333333333333331</v>
      </c>
      <c r="H7">
        <v>0</v>
      </c>
      <c r="I7">
        <f>H7/D7</f>
        <v>0</v>
      </c>
      <c r="J7">
        <v>2</v>
      </c>
      <c r="K7">
        <f>J7/D7</f>
        <v>0.66666666666666663</v>
      </c>
      <c r="L7">
        <v>0</v>
      </c>
      <c r="M7">
        <f>L7/D7</f>
        <v>0</v>
      </c>
      <c r="N7">
        <v>3.66</v>
      </c>
      <c r="O7">
        <v>20.3</v>
      </c>
      <c r="P7">
        <v>0.54</v>
      </c>
      <c r="Q7">
        <v>0</v>
      </c>
      <c r="R7">
        <f>Q7/D7</f>
        <v>0</v>
      </c>
      <c r="S7">
        <v>0</v>
      </c>
      <c r="T7">
        <f>S7/D7</f>
        <v>0</v>
      </c>
    </row>
    <row r="8" spans="1:20" ht="35.25" customHeight="1">
      <c r="A8" s="1"/>
      <c r="B8">
        <v>5</v>
      </c>
      <c r="C8" t="s">
        <v>4</v>
      </c>
      <c r="D8">
        <v>0</v>
      </c>
      <c r="E8">
        <f>D8/46</f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27.75" customHeight="1">
      <c r="A9" s="1"/>
      <c r="B9">
        <v>6</v>
      </c>
      <c r="C9" t="s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25.5" customHeight="1">
      <c r="A10" s="1"/>
      <c r="B10">
        <v>7</v>
      </c>
      <c r="C10" t="s">
        <v>16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>O10/44</f>
        <v>0</v>
      </c>
      <c r="Q10">
        <v>0</v>
      </c>
      <c r="R10">
        <v>0</v>
      </c>
      <c r="S10">
        <v>0</v>
      </c>
      <c r="T10">
        <v>0</v>
      </c>
    </row>
    <row r="11" spans="1:20" ht="27" customHeight="1">
      <c r="A11" s="1"/>
      <c r="B11">
        <v>8</v>
      </c>
      <c r="C11" t="s">
        <v>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30" customHeight="1">
      <c r="A12" s="1"/>
      <c r="C12" t="s">
        <v>6</v>
      </c>
      <c r="D12">
        <f>SUM(D4:D11)</f>
        <v>6</v>
      </c>
      <c r="E12">
        <f>D12/283</f>
        <v>2.1201413427561839E-2</v>
      </c>
      <c r="F12">
        <f>SUM(F4:F11)</f>
        <v>1</v>
      </c>
      <c r="G12">
        <f>F12/D12</f>
        <v>0.16666666666666666</v>
      </c>
      <c r="H12">
        <f>SUM(H4:H11)</f>
        <v>2</v>
      </c>
      <c r="I12">
        <f>H12/D12</f>
        <v>0.33333333333333331</v>
      </c>
      <c r="J12">
        <f>SUM(J4:J11)</f>
        <v>3</v>
      </c>
      <c r="K12">
        <f>J12/D12</f>
        <v>0.5</v>
      </c>
      <c r="L12">
        <f>SUM(L4:L11)</f>
        <v>0</v>
      </c>
      <c r="M12">
        <f>L12/D12</f>
        <v>0</v>
      </c>
      <c r="N12">
        <v>3.66</v>
      </c>
      <c r="O12">
        <f>127/D12</f>
        <v>21.166666666666668</v>
      </c>
      <c r="P12">
        <v>0.56999999999999995</v>
      </c>
      <c r="Q12">
        <f>SUM(Q4:Q11)</f>
        <v>0</v>
      </c>
      <c r="R12">
        <f>Q12/D12</f>
        <v>0</v>
      </c>
      <c r="S12">
        <f>SUM(S4:S11)</f>
        <v>0</v>
      </c>
      <c r="T12">
        <f>S12/D12</f>
        <v>0</v>
      </c>
    </row>
    <row r="13" spans="1:20" ht="19.5" customHeight="1">
      <c r="A13" s="1"/>
      <c r="C13" t="s">
        <v>21</v>
      </c>
    </row>
    <row r="14" spans="1:20" ht="17.25" customHeight="1">
      <c r="A14" s="1" t="s">
        <v>171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0" ht="15.75" customHeight="1">
      <c r="A15" s="1" t="s">
        <v>162</v>
      </c>
      <c r="B15" t="s">
        <v>127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24</v>
      </c>
      <c r="O15" s="1" t="s">
        <v>14</v>
      </c>
      <c r="P15" s="1" t="s">
        <v>39</v>
      </c>
      <c r="Q15" s="1" t="s">
        <v>43</v>
      </c>
      <c r="R15" s="1"/>
      <c r="S15" s="1" t="s">
        <v>44</v>
      </c>
      <c r="T15" s="1"/>
    </row>
    <row r="16" spans="1:20" ht="15.75" customHeight="1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s="1"/>
      <c r="O16" s="1"/>
      <c r="P16" s="1"/>
      <c r="Q16" t="s">
        <v>8</v>
      </c>
      <c r="R16" t="s">
        <v>10</v>
      </c>
      <c r="S16" t="s">
        <v>8</v>
      </c>
      <c r="T16" t="s">
        <v>10</v>
      </c>
    </row>
    <row r="17" spans="1:20" ht="15" customHeight="1">
      <c r="A17" s="1"/>
      <c r="B17">
        <v>1</v>
      </c>
      <c r="C17" t="s">
        <v>0</v>
      </c>
      <c r="E17">
        <f>D17/44</f>
        <v>0</v>
      </c>
      <c r="G17" t="e">
        <f>F17/D17</f>
        <v>#DIV/0!</v>
      </c>
      <c r="H17">
        <v>0</v>
      </c>
      <c r="I17" t="e">
        <f>H17/D17</f>
        <v>#DIV/0!</v>
      </c>
      <c r="J17">
        <v>0</v>
      </c>
      <c r="K17" t="e">
        <f>J17/D17</f>
        <v>#DIV/0!</v>
      </c>
      <c r="L17">
        <v>0</v>
      </c>
      <c r="M17" t="e">
        <f>L17/D17</f>
        <v>#DIV/0!</v>
      </c>
      <c r="N17" t="e">
        <f t="shared" ref="N17:N25" si="0">(F17*5+H17*4+J17*3+L17*2)/D17</f>
        <v>#DIV/0!</v>
      </c>
      <c r="O17" t="e">
        <f>(28+22)/D17</f>
        <v>#DIV/0!</v>
      </c>
      <c r="P17" t="e">
        <f>O17/44</f>
        <v>#DIV/0!</v>
      </c>
      <c r="Q17">
        <v>0</v>
      </c>
      <c r="R17" t="e">
        <f>Q17/D17</f>
        <v>#DIV/0!</v>
      </c>
      <c r="S17">
        <v>0</v>
      </c>
      <c r="T17" t="e">
        <f>S17/D17</f>
        <v>#DIV/0!</v>
      </c>
    </row>
    <row r="18" spans="1:20">
      <c r="A18" s="1"/>
      <c r="B18">
        <v>2</v>
      </c>
      <c r="C18" t="s">
        <v>1</v>
      </c>
      <c r="E18">
        <f>D18/40</f>
        <v>0</v>
      </c>
      <c r="F18">
        <v>0</v>
      </c>
      <c r="G18" t="e">
        <f>F18/D18</f>
        <v>#DIV/0!</v>
      </c>
      <c r="I18" t="e">
        <f>H18/D18</f>
        <v>#DIV/0!</v>
      </c>
      <c r="K18" t="e">
        <f t="shared" ref="K18:K25" si="1">J18/D18</f>
        <v>#DIV/0!</v>
      </c>
      <c r="M18" t="e">
        <f t="shared" ref="M18:M25" si="2">L18/D18</f>
        <v>#DIV/0!</v>
      </c>
      <c r="N18" t="e">
        <f t="shared" si="0"/>
        <v>#DIV/0!</v>
      </c>
      <c r="O18" t="e">
        <f>(28+22)/D18</f>
        <v>#DIV/0!</v>
      </c>
      <c r="P18" t="e">
        <f>O18/44</f>
        <v>#DIV/0!</v>
      </c>
      <c r="Q18">
        <v>0</v>
      </c>
      <c r="R18" t="e">
        <f t="shared" ref="R18:R25" si="3">Q18/D18</f>
        <v>#DIV/0!</v>
      </c>
      <c r="S18">
        <v>0</v>
      </c>
      <c r="T18" t="e">
        <f t="shared" ref="T18:T25" si="4">S18/D18</f>
        <v>#DIV/0!</v>
      </c>
    </row>
    <row r="19" spans="1:20">
      <c r="A19" s="1"/>
      <c r="B19">
        <v>3</v>
      </c>
      <c r="C19" t="s">
        <v>2</v>
      </c>
      <c r="D19">
        <v>4</v>
      </c>
      <c r="E19">
        <f>D19/101</f>
        <v>3.9603960396039604E-2</v>
      </c>
      <c r="F19">
        <v>0</v>
      </c>
      <c r="G19">
        <f>F19/D19</f>
        <v>0</v>
      </c>
      <c r="I19">
        <f>H19/D19</f>
        <v>0</v>
      </c>
      <c r="J19">
        <v>4</v>
      </c>
      <c r="K19">
        <f t="shared" si="1"/>
        <v>1</v>
      </c>
      <c r="L19">
        <v>0</v>
      </c>
      <c r="M19">
        <f t="shared" si="2"/>
        <v>0</v>
      </c>
      <c r="N19">
        <f t="shared" si="0"/>
        <v>3</v>
      </c>
      <c r="O19">
        <f>64/D19</f>
        <v>16</v>
      </c>
      <c r="P19">
        <f t="shared" ref="P19:P24" si="5">O19/44</f>
        <v>0.36363636363636365</v>
      </c>
      <c r="Q19">
        <v>0</v>
      </c>
      <c r="R19">
        <f t="shared" si="3"/>
        <v>0</v>
      </c>
      <c r="S19">
        <v>0</v>
      </c>
      <c r="T19">
        <f t="shared" si="4"/>
        <v>0</v>
      </c>
    </row>
    <row r="20" spans="1:20">
      <c r="A20" s="1"/>
      <c r="B20">
        <v>4</v>
      </c>
      <c r="C20" t="s">
        <v>3</v>
      </c>
      <c r="D20">
        <v>2</v>
      </c>
      <c r="E20">
        <f>D20/46</f>
        <v>4.3478260869565216E-2</v>
      </c>
      <c r="F20">
        <v>0</v>
      </c>
      <c r="G20">
        <f t="shared" ref="G20:G25" si="6">F20/D20</f>
        <v>0</v>
      </c>
      <c r="H20">
        <v>2</v>
      </c>
      <c r="I20">
        <f t="shared" ref="I20:I25" si="7">H20/D20</f>
        <v>1</v>
      </c>
      <c r="J20">
        <v>0</v>
      </c>
      <c r="K20">
        <f t="shared" si="1"/>
        <v>0</v>
      </c>
      <c r="L20">
        <v>0</v>
      </c>
      <c r="M20">
        <f t="shared" si="2"/>
        <v>0</v>
      </c>
      <c r="N20">
        <f t="shared" si="0"/>
        <v>4</v>
      </c>
      <c r="O20">
        <f>51/D20</f>
        <v>25.5</v>
      </c>
      <c r="P20">
        <f t="shared" si="5"/>
        <v>0.57954545454545459</v>
      </c>
      <c r="Q20">
        <v>0</v>
      </c>
      <c r="R20">
        <f t="shared" si="3"/>
        <v>0</v>
      </c>
      <c r="S20">
        <v>0</v>
      </c>
      <c r="T20">
        <f t="shared" si="4"/>
        <v>0</v>
      </c>
    </row>
    <row r="21" spans="1:20">
      <c r="A21" s="1"/>
      <c r="B21">
        <v>5</v>
      </c>
      <c r="C21" t="s">
        <v>4</v>
      </c>
      <c r="E21">
        <f>D21/46</f>
        <v>0</v>
      </c>
      <c r="G21" t="e">
        <f t="shared" si="6"/>
        <v>#DIV/0!</v>
      </c>
      <c r="I21" t="e">
        <f t="shared" si="7"/>
        <v>#DIV/0!</v>
      </c>
      <c r="K21" t="e">
        <f t="shared" si="1"/>
        <v>#DIV/0!</v>
      </c>
      <c r="M21" t="e">
        <f t="shared" si="2"/>
        <v>#DIV/0!</v>
      </c>
      <c r="N21" t="e">
        <f t="shared" si="0"/>
        <v>#DIV/0!</v>
      </c>
      <c r="O21" t="e">
        <f>(28+22)/D21</f>
        <v>#DIV/0!</v>
      </c>
      <c r="P21" t="e">
        <f t="shared" si="5"/>
        <v>#DIV/0!</v>
      </c>
      <c r="R21" t="e">
        <f t="shared" si="3"/>
        <v>#DIV/0!</v>
      </c>
      <c r="T21" t="e">
        <f t="shared" si="4"/>
        <v>#DIV/0!</v>
      </c>
    </row>
    <row r="22" spans="1:20">
      <c r="A22" s="1"/>
      <c r="B22">
        <v>6</v>
      </c>
      <c r="C22" t="s">
        <v>5</v>
      </c>
      <c r="D22">
        <v>1</v>
      </c>
      <c r="E22">
        <f>D22/12</f>
        <v>8.3333333333333329E-2</v>
      </c>
      <c r="F22">
        <v>0</v>
      </c>
      <c r="G22">
        <f t="shared" si="6"/>
        <v>0</v>
      </c>
      <c r="H22">
        <v>1</v>
      </c>
      <c r="I22">
        <f t="shared" si="7"/>
        <v>1</v>
      </c>
      <c r="J22">
        <v>0</v>
      </c>
      <c r="K22">
        <f t="shared" si="1"/>
        <v>0</v>
      </c>
      <c r="L22">
        <v>0</v>
      </c>
      <c r="M22">
        <f t="shared" si="2"/>
        <v>0</v>
      </c>
      <c r="N22">
        <f t="shared" si="0"/>
        <v>4</v>
      </c>
      <c r="O22">
        <f>26/D22</f>
        <v>26</v>
      </c>
      <c r="P22">
        <f t="shared" si="5"/>
        <v>0.59090909090909094</v>
      </c>
      <c r="R22">
        <f t="shared" si="3"/>
        <v>0</v>
      </c>
      <c r="T22">
        <f t="shared" si="4"/>
        <v>0</v>
      </c>
    </row>
    <row r="23" spans="1:20">
      <c r="A23" s="1"/>
      <c r="B23">
        <v>7</v>
      </c>
      <c r="C23" t="s">
        <v>16</v>
      </c>
      <c r="G23" t="e">
        <f t="shared" si="6"/>
        <v>#DIV/0!</v>
      </c>
      <c r="I23" t="e">
        <f t="shared" si="7"/>
        <v>#DIV/0!</v>
      </c>
      <c r="K23" t="e">
        <f t="shared" si="1"/>
        <v>#DIV/0!</v>
      </c>
      <c r="M23" t="e">
        <f t="shared" si="2"/>
        <v>#DIV/0!</v>
      </c>
      <c r="N23" t="e">
        <f t="shared" si="0"/>
        <v>#DIV/0!</v>
      </c>
      <c r="O23" t="e">
        <f>(28+22)/D23</f>
        <v>#DIV/0!</v>
      </c>
      <c r="P23" t="e">
        <f t="shared" si="5"/>
        <v>#DIV/0!</v>
      </c>
      <c r="R23" t="e">
        <f t="shared" si="3"/>
        <v>#DIV/0!</v>
      </c>
      <c r="T23" t="e">
        <f t="shared" si="4"/>
        <v>#DIV/0!</v>
      </c>
    </row>
    <row r="24" spans="1:20">
      <c r="A24" s="1"/>
      <c r="B24">
        <v>8</v>
      </c>
      <c r="C24" t="s">
        <v>17</v>
      </c>
      <c r="G24" t="e">
        <f t="shared" si="6"/>
        <v>#DIV/0!</v>
      </c>
      <c r="I24" t="e">
        <f t="shared" si="7"/>
        <v>#DIV/0!</v>
      </c>
      <c r="K24" t="e">
        <f t="shared" si="1"/>
        <v>#DIV/0!</v>
      </c>
      <c r="M24" t="e">
        <f t="shared" si="2"/>
        <v>#DIV/0!</v>
      </c>
      <c r="N24" t="e">
        <f t="shared" si="0"/>
        <v>#DIV/0!</v>
      </c>
      <c r="O24" t="e">
        <f>(28+22)/D24</f>
        <v>#DIV/0!</v>
      </c>
      <c r="P24" t="e">
        <f t="shared" si="5"/>
        <v>#DIV/0!</v>
      </c>
      <c r="R24" t="e">
        <f t="shared" si="3"/>
        <v>#DIV/0!</v>
      </c>
      <c r="T24" t="e">
        <f t="shared" si="4"/>
        <v>#DIV/0!</v>
      </c>
    </row>
    <row r="25" spans="1:20">
      <c r="A25" s="1"/>
      <c r="C25" t="s">
        <v>6</v>
      </c>
      <c r="D25">
        <f>SUM(D17:D24)</f>
        <v>7</v>
      </c>
      <c r="E25">
        <f>D25/257</f>
        <v>2.7237354085603113E-2</v>
      </c>
      <c r="F25">
        <f>SUM(F17:F24)</f>
        <v>0</v>
      </c>
      <c r="G25">
        <f t="shared" si="6"/>
        <v>0</v>
      </c>
      <c r="H25">
        <f>SUM(H17:H24)</f>
        <v>3</v>
      </c>
      <c r="I25">
        <f t="shared" si="7"/>
        <v>0.42857142857142855</v>
      </c>
      <c r="J25">
        <f>SUM(J17:J24)</f>
        <v>4</v>
      </c>
      <c r="K25">
        <f t="shared" si="1"/>
        <v>0.5714285714285714</v>
      </c>
      <c r="L25">
        <f>SUM(L17:L24)</f>
        <v>0</v>
      </c>
      <c r="M25">
        <f t="shared" si="2"/>
        <v>0</v>
      </c>
      <c r="N25">
        <f t="shared" si="0"/>
        <v>3.4285714285714284</v>
      </c>
      <c r="O25">
        <f>141/D25</f>
        <v>20.142857142857142</v>
      </c>
      <c r="P25">
        <f>141/(D25*44)</f>
        <v>0.45779220779220781</v>
      </c>
      <c r="Q25">
        <f>SUM(Q17:Q24)</f>
        <v>0</v>
      </c>
      <c r="R25">
        <f t="shared" si="3"/>
        <v>0</v>
      </c>
      <c r="S25">
        <f>SUM(S17:S24)</f>
        <v>0</v>
      </c>
      <c r="T25">
        <f t="shared" si="4"/>
        <v>0</v>
      </c>
    </row>
    <row r="26" spans="1:20">
      <c r="A26" s="1"/>
      <c r="C26" t="s">
        <v>21</v>
      </c>
      <c r="M26">
        <v>9.24</v>
      </c>
      <c r="N26">
        <v>3.56</v>
      </c>
      <c r="O26">
        <v>24.06</v>
      </c>
    </row>
    <row r="28" spans="1:20">
      <c r="B28" s="1" t="s">
        <v>143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 t="s">
        <v>137</v>
      </c>
      <c r="B29" t="s">
        <v>127</v>
      </c>
      <c r="D29" t="s">
        <v>7</v>
      </c>
      <c r="F29" t="s">
        <v>9</v>
      </c>
      <c r="H29" t="s">
        <v>11</v>
      </c>
      <c r="J29" t="s">
        <v>12</v>
      </c>
      <c r="L29" t="s">
        <v>15</v>
      </c>
      <c r="N29" t="s">
        <v>13</v>
      </c>
      <c r="O29" t="s">
        <v>14</v>
      </c>
      <c r="P29" t="s">
        <v>39</v>
      </c>
      <c r="Q29" t="s">
        <v>43</v>
      </c>
      <c r="S29" t="s">
        <v>44</v>
      </c>
    </row>
    <row r="30" spans="1:20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Q30" t="s">
        <v>8</v>
      </c>
      <c r="R30" t="s">
        <v>10</v>
      </c>
      <c r="S30" t="s">
        <v>8</v>
      </c>
      <c r="T30" t="s">
        <v>10</v>
      </c>
    </row>
    <row r="31" spans="1:20">
      <c r="A31" s="1"/>
      <c r="B31">
        <v>1</v>
      </c>
      <c r="C31" t="s">
        <v>0</v>
      </c>
      <c r="D31">
        <v>13</v>
      </c>
      <c r="E31">
        <f>D31/51</f>
        <v>0.25490196078431371</v>
      </c>
      <c r="F31">
        <v>1</v>
      </c>
      <c r="G31">
        <f>F31/D31</f>
        <v>7.6923076923076927E-2</v>
      </c>
      <c r="H31">
        <v>2</v>
      </c>
      <c r="I31">
        <f>H31/D31</f>
        <v>0.15384615384615385</v>
      </c>
      <c r="J31">
        <v>10</v>
      </c>
      <c r="K31">
        <f>J31/D31</f>
        <v>0.76923076923076927</v>
      </c>
      <c r="L31">
        <v>2</v>
      </c>
      <c r="M31">
        <f>L31/D31</f>
        <v>0.15384615384615385</v>
      </c>
      <c r="N31">
        <f>(F31*5+H31*4+J31*3)/D31</f>
        <v>3.3076923076923075</v>
      </c>
      <c r="O31">
        <f>267/D31</f>
        <v>20.53846153846154</v>
      </c>
      <c r="P31">
        <f>O31/44</f>
        <v>0.46678321678321683</v>
      </c>
      <c r="Q31">
        <v>0</v>
      </c>
      <c r="R31">
        <f>Q31/D31</f>
        <v>0</v>
      </c>
      <c r="S31">
        <v>0</v>
      </c>
      <c r="T31">
        <f>S31/D31</f>
        <v>0</v>
      </c>
    </row>
    <row r="32" spans="1:20">
      <c r="A32" s="1"/>
      <c r="B32">
        <v>2</v>
      </c>
      <c r="C32" t="s">
        <v>1</v>
      </c>
      <c r="D32">
        <v>0</v>
      </c>
      <c r="E32">
        <f>D32/45</f>
        <v>0</v>
      </c>
      <c r="F32">
        <v>0</v>
      </c>
      <c r="G32" t="e">
        <f>F32/D32</f>
        <v>#DIV/0!</v>
      </c>
      <c r="H32">
        <v>0</v>
      </c>
      <c r="I32" t="e">
        <f>H32/D32</f>
        <v>#DIV/0!</v>
      </c>
      <c r="J32">
        <v>0</v>
      </c>
      <c r="K32" t="e">
        <f t="shared" ref="K32:K39" si="8">J32/D32</f>
        <v>#DIV/0!</v>
      </c>
      <c r="L32">
        <v>0</v>
      </c>
      <c r="M32" t="e">
        <f t="shared" ref="M32:M39" si="9">L32/D32</f>
        <v>#DIV/0!</v>
      </c>
      <c r="N32" t="e">
        <f t="shared" ref="N32:N38" si="10">(F32*5+H32*4+J32*3+L32*2)/D32</f>
        <v>#DIV/0!</v>
      </c>
      <c r="O32" t="e">
        <f>(28+22)/D32</f>
        <v>#DIV/0!</v>
      </c>
      <c r="P32" t="e">
        <f>O32/44</f>
        <v>#DIV/0!</v>
      </c>
      <c r="Q32">
        <v>0</v>
      </c>
      <c r="R32" t="e">
        <f t="shared" ref="R32:R39" si="11">Q32/D32</f>
        <v>#DIV/0!</v>
      </c>
      <c r="S32">
        <v>0</v>
      </c>
      <c r="T32" t="e">
        <f t="shared" ref="T32:T39" si="12">S32/D32</f>
        <v>#DIV/0!</v>
      </c>
    </row>
    <row r="33" spans="1:20">
      <c r="A33" s="1"/>
      <c r="B33">
        <v>3</v>
      </c>
      <c r="C33" t="s">
        <v>2</v>
      </c>
      <c r="D33">
        <v>0</v>
      </c>
      <c r="E33">
        <f>D33/103</f>
        <v>0</v>
      </c>
      <c r="F33">
        <v>0</v>
      </c>
      <c r="G33" t="e">
        <f>F33/D33</f>
        <v>#DIV/0!</v>
      </c>
      <c r="H33">
        <v>0</v>
      </c>
      <c r="I33" t="e">
        <f>H33/D33</f>
        <v>#DIV/0!</v>
      </c>
      <c r="J33">
        <v>0</v>
      </c>
      <c r="K33" t="e">
        <f t="shared" si="8"/>
        <v>#DIV/0!</v>
      </c>
      <c r="L33">
        <v>0</v>
      </c>
      <c r="M33" t="e">
        <f t="shared" si="9"/>
        <v>#DIV/0!</v>
      </c>
      <c r="N33" t="e">
        <f t="shared" si="10"/>
        <v>#DIV/0!</v>
      </c>
      <c r="O33">
        <v>0</v>
      </c>
      <c r="P33">
        <v>0</v>
      </c>
      <c r="Q33">
        <v>0</v>
      </c>
      <c r="R33" t="e">
        <f t="shared" si="11"/>
        <v>#DIV/0!</v>
      </c>
      <c r="S33">
        <v>0</v>
      </c>
      <c r="T33" t="e">
        <f t="shared" si="12"/>
        <v>#DIV/0!</v>
      </c>
    </row>
    <row r="34" spans="1:20">
      <c r="A34" s="1"/>
      <c r="B34">
        <v>4</v>
      </c>
      <c r="C34" t="s">
        <v>3</v>
      </c>
      <c r="D34">
        <v>6</v>
      </c>
      <c r="E34">
        <f>D34/52</f>
        <v>0.11538461538461539</v>
      </c>
      <c r="F34">
        <v>0</v>
      </c>
      <c r="G34">
        <f t="shared" ref="G34:G39" si="13">F34/D34</f>
        <v>0</v>
      </c>
      <c r="H34">
        <v>4</v>
      </c>
      <c r="I34">
        <f t="shared" ref="I34:I39" si="14">H34/D34</f>
        <v>0.66666666666666663</v>
      </c>
      <c r="J34">
        <v>2</v>
      </c>
      <c r="K34">
        <f t="shared" si="8"/>
        <v>0.33333333333333331</v>
      </c>
      <c r="L34">
        <v>0</v>
      </c>
      <c r="M34">
        <f t="shared" si="9"/>
        <v>0</v>
      </c>
      <c r="N34">
        <f>(F34*5+H34*4+J34*3+L34*2)/D34</f>
        <v>3.6666666666666665</v>
      </c>
      <c r="O34">
        <f>152/D34</f>
        <v>25.333333333333332</v>
      </c>
      <c r="P34">
        <f>O34/44</f>
        <v>0.57575757575757569</v>
      </c>
      <c r="Q34">
        <v>0</v>
      </c>
      <c r="R34">
        <f t="shared" si="11"/>
        <v>0</v>
      </c>
      <c r="S34">
        <v>0</v>
      </c>
      <c r="T34">
        <f t="shared" si="12"/>
        <v>0</v>
      </c>
    </row>
    <row r="35" spans="1:20">
      <c r="A35" s="1"/>
      <c r="B35">
        <v>5</v>
      </c>
      <c r="C35" t="s">
        <v>4</v>
      </c>
      <c r="G35" t="e">
        <f t="shared" si="13"/>
        <v>#DIV/0!</v>
      </c>
      <c r="I35" t="e">
        <f t="shared" si="14"/>
        <v>#DIV/0!</v>
      </c>
      <c r="K35" t="e">
        <f t="shared" si="8"/>
        <v>#DIV/0!</v>
      </c>
      <c r="M35" t="e">
        <f t="shared" si="9"/>
        <v>#DIV/0!</v>
      </c>
      <c r="N35" t="e">
        <f t="shared" si="10"/>
        <v>#DIV/0!</v>
      </c>
      <c r="P35">
        <f>O35/44</f>
        <v>0</v>
      </c>
      <c r="R35" t="e">
        <f t="shared" si="11"/>
        <v>#DIV/0!</v>
      </c>
      <c r="T35" t="e">
        <f t="shared" si="12"/>
        <v>#DIV/0!</v>
      </c>
    </row>
    <row r="36" spans="1:20">
      <c r="A36" s="1"/>
      <c r="B36">
        <v>6</v>
      </c>
      <c r="C36" t="s">
        <v>5</v>
      </c>
      <c r="G36" t="e">
        <f t="shared" si="13"/>
        <v>#DIV/0!</v>
      </c>
      <c r="I36" t="e">
        <f t="shared" si="14"/>
        <v>#DIV/0!</v>
      </c>
      <c r="K36" t="e">
        <f t="shared" si="8"/>
        <v>#DIV/0!</v>
      </c>
      <c r="M36" t="e">
        <f t="shared" si="9"/>
        <v>#DIV/0!</v>
      </c>
      <c r="N36" t="e">
        <f t="shared" si="10"/>
        <v>#DIV/0!</v>
      </c>
      <c r="P36">
        <f>O36/44</f>
        <v>0</v>
      </c>
      <c r="R36" t="e">
        <f t="shared" si="11"/>
        <v>#DIV/0!</v>
      </c>
      <c r="T36" t="e">
        <f t="shared" si="12"/>
        <v>#DIV/0!</v>
      </c>
    </row>
    <row r="37" spans="1:20">
      <c r="A37" s="1"/>
      <c r="B37">
        <v>7</v>
      </c>
      <c r="C37" t="s">
        <v>16</v>
      </c>
      <c r="G37" t="e">
        <f t="shared" si="13"/>
        <v>#DIV/0!</v>
      </c>
      <c r="I37" t="e">
        <f t="shared" si="14"/>
        <v>#DIV/0!</v>
      </c>
      <c r="K37" t="e">
        <f t="shared" si="8"/>
        <v>#DIV/0!</v>
      </c>
      <c r="M37" t="e">
        <f t="shared" si="9"/>
        <v>#DIV/0!</v>
      </c>
      <c r="N37" t="e">
        <f t="shared" si="10"/>
        <v>#DIV/0!</v>
      </c>
      <c r="P37">
        <f>O37/44</f>
        <v>0</v>
      </c>
      <c r="R37" t="e">
        <f t="shared" si="11"/>
        <v>#DIV/0!</v>
      </c>
      <c r="T37" t="e">
        <f t="shared" si="12"/>
        <v>#DIV/0!</v>
      </c>
    </row>
    <row r="38" spans="1:20">
      <c r="A38" s="1"/>
      <c r="B38">
        <v>8</v>
      </c>
      <c r="C38" t="s">
        <v>17</v>
      </c>
      <c r="G38" t="e">
        <f t="shared" si="13"/>
        <v>#DIV/0!</v>
      </c>
      <c r="I38" t="e">
        <f t="shared" si="14"/>
        <v>#DIV/0!</v>
      </c>
      <c r="K38" t="e">
        <f t="shared" si="8"/>
        <v>#DIV/0!</v>
      </c>
      <c r="M38" t="e">
        <f t="shared" si="9"/>
        <v>#DIV/0!</v>
      </c>
      <c r="N38" t="e">
        <f t="shared" si="10"/>
        <v>#DIV/0!</v>
      </c>
      <c r="P38">
        <f>O38/44</f>
        <v>0</v>
      </c>
      <c r="R38" t="e">
        <f t="shared" si="11"/>
        <v>#DIV/0!</v>
      </c>
      <c r="T38" t="e">
        <f t="shared" si="12"/>
        <v>#DIV/0!</v>
      </c>
    </row>
    <row r="39" spans="1:20">
      <c r="A39" s="1"/>
      <c r="C39" t="s">
        <v>6</v>
      </c>
      <c r="D39">
        <f>SUM(D31:D38)</f>
        <v>19</v>
      </c>
      <c r="E39">
        <f>D39/260</f>
        <v>7.3076923076923081E-2</v>
      </c>
      <c r="F39">
        <f>SUM(F31:F38)</f>
        <v>1</v>
      </c>
      <c r="G39">
        <f t="shared" si="13"/>
        <v>5.2631578947368418E-2</v>
      </c>
      <c r="H39">
        <f>SUM(H31:H38)</f>
        <v>6</v>
      </c>
      <c r="I39">
        <f t="shared" si="14"/>
        <v>0.31578947368421051</v>
      </c>
      <c r="J39">
        <f>SUM(J31:J38)</f>
        <v>12</v>
      </c>
      <c r="K39">
        <f t="shared" si="8"/>
        <v>0.63157894736842102</v>
      </c>
      <c r="L39">
        <v>2</v>
      </c>
      <c r="M39">
        <f t="shared" si="9"/>
        <v>0.10526315789473684</v>
      </c>
      <c r="N39">
        <f>(F39*5+H39*4+J39*3)/D39</f>
        <v>3.4210526315789473</v>
      </c>
      <c r="O39">
        <f>419/D39</f>
        <v>22.05263157894737</v>
      </c>
      <c r="P39">
        <f>419/(D39*44)</f>
        <v>0.50119617224880386</v>
      </c>
      <c r="Q39">
        <f>SUM(Q31:Q38)</f>
        <v>0</v>
      </c>
      <c r="R39">
        <f t="shared" si="11"/>
        <v>0</v>
      </c>
      <c r="S39">
        <f>SUM(S31:S38)</f>
        <v>0</v>
      </c>
      <c r="T39">
        <f t="shared" si="12"/>
        <v>0</v>
      </c>
    </row>
    <row r="40" spans="1:20">
      <c r="A40" s="1"/>
      <c r="C40" t="s">
        <v>21</v>
      </c>
    </row>
    <row r="42" spans="1:20">
      <c r="A42" s="1" t="s">
        <v>135</v>
      </c>
      <c r="B42" t="s">
        <v>127</v>
      </c>
      <c r="D42" s="1" t="s">
        <v>7</v>
      </c>
      <c r="E42" s="1"/>
      <c r="F42" s="1" t="s">
        <v>9</v>
      </c>
      <c r="G42" s="1"/>
      <c r="H42" s="1" t="s">
        <v>11</v>
      </c>
      <c r="I42" s="1"/>
      <c r="J42" s="1" t="s">
        <v>12</v>
      </c>
      <c r="K42" s="1"/>
      <c r="L42" s="1" t="s">
        <v>15</v>
      </c>
      <c r="M42" s="1"/>
      <c r="N42" s="1" t="s">
        <v>13</v>
      </c>
      <c r="O42" s="1" t="s">
        <v>14</v>
      </c>
      <c r="P42" s="1" t="s">
        <v>39</v>
      </c>
      <c r="Q42" s="1" t="s">
        <v>43</v>
      </c>
      <c r="R42" s="1"/>
      <c r="S42" s="1" t="s">
        <v>44</v>
      </c>
      <c r="T42" s="1"/>
    </row>
    <row r="43" spans="1:20">
      <c r="A43" s="1"/>
      <c r="D43" t="s">
        <v>8</v>
      </c>
      <c r="E43" t="s">
        <v>19</v>
      </c>
      <c r="F43" t="s">
        <v>8</v>
      </c>
      <c r="G43" t="s">
        <v>10</v>
      </c>
      <c r="H43" t="s">
        <v>8</v>
      </c>
      <c r="I43" t="s">
        <v>10</v>
      </c>
      <c r="J43" t="s">
        <v>8</v>
      </c>
      <c r="K43" t="s">
        <v>10</v>
      </c>
      <c r="L43" t="s">
        <v>8</v>
      </c>
      <c r="M43" t="s">
        <v>10</v>
      </c>
      <c r="N43" s="1"/>
      <c r="O43" s="1"/>
      <c r="P43" s="1"/>
      <c r="Q43" t="s">
        <v>8</v>
      </c>
      <c r="R43" t="s">
        <v>10</v>
      </c>
      <c r="S43" t="s">
        <v>8</v>
      </c>
      <c r="T43" t="s">
        <v>10</v>
      </c>
    </row>
    <row r="44" spans="1:20">
      <c r="A44" s="1"/>
      <c r="B44">
        <v>1</v>
      </c>
      <c r="C44" t="s">
        <v>0</v>
      </c>
      <c r="D44">
        <v>1</v>
      </c>
      <c r="E44">
        <f>D44/53</f>
        <v>1.8867924528301886E-2</v>
      </c>
      <c r="F44">
        <v>1</v>
      </c>
      <c r="G44">
        <f>F44/D44</f>
        <v>1</v>
      </c>
      <c r="H44">
        <v>0</v>
      </c>
      <c r="I44">
        <f>H44/D44</f>
        <v>0</v>
      </c>
      <c r="J44">
        <v>0</v>
      </c>
      <c r="K44">
        <f>J44/D44</f>
        <v>0</v>
      </c>
      <c r="L44">
        <v>0</v>
      </c>
      <c r="M44">
        <f>L44/D44</f>
        <v>0</v>
      </c>
      <c r="N44">
        <f t="shared" ref="N44:N51" si="15">(F44*5+H44*4+J44*3+L44*2)/D44</f>
        <v>5</v>
      </c>
      <c r="O44">
        <v>36</v>
      </c>
      <c r="P44">
        <f>O44/44</f>
        <v>0.81818181818181823</v>
      </c>
      <c r="Q44">
        <v>0</v>
      </c>
      <c r="R44">
        <f>Q44/D44</f>
        <v>0</v>
      </c>
      <c r="S44">
        <v>0</v>
      </c>
      <c r="T44">
        <f>S44/D44</f>
        <v>0</v>
      </c>
    </row>
    <row r="45" spans="1:20">
      <c r="A45" s="1"/>
      <c r="B45">
        <v>2</v>
      </c>
      <c r="C45" t="s">
        <v>1</v>
      </c>
      <c r="D45">
        <v>2</v>
      </c>
      <c r="E45">
        <f>D45/45</f>
        <v>4.4444444444444446E-2</v>
      </c>
      <c r="F45">
        <v>0</v>
      </c>
      <c r="G45">
        <f t="shared" ref="G45:G52" si="16">F45/D45</f>
        <v>0</v>
      </c>
      <c r="H45">
        <v>1</v>
      </c>
      <c r="I45">
        <f t="shared" ref="I45:I52" si="17">H45/D45</f>
        <v>0.5</v>
      </c>
      <c r="J45">
        <v>1</v>
      </c>
      <c r="K45">
        <f t="shared" ref="K45:K52" si="18">J45/D45</f>
        <v>0.5</v>
      </c>
      <c r="L45">
        <v>1</v>
      </c>
      <c r="M45">
        <f t="shared" ref="M45:M52" si="19">L45/D45</f>
        <v>0.5</v>
      </c>
      <c r="N45">
        <f t="shared" si="15"/>
        <v>4.5</v>
      </c>
      <c r="O45">
        <f>(28+22)/D45</f>
        <v>25</v>
      </c>
      <c r="P45">
        <f>O45/44</f>
        <v>0.56818181818181823</v>
      </c>
      <c r="Q45">
        <v>0</v>
      </c>
      <c r="R45">
        <f t="shared" ref="R45:R52" si="20">Q45/D45</f>
        <v>0</v>
      </c>
      <c r="S45">
        <v>0</v>
      </c>
      <c r="T45">
        <f t="shared" ref="T45:T52" si="21">S45/D45</f>
        <v>0</v>
      </c>
    </row>
    <row r="46" spans="1:20">
      <c r="A46" s="1"/>
      <c r="B46">
        <v>3</v>
      </c>
      <c r="C46" t="s">
        <v>2</v>
      </c>
      <c r="D46">
        <v>1</v>
      </c>
      <c r="E46">
        <f>D46/103</f>
        <v>9.7087378640776691E-3</v>
      </c>
      <c r="F46">
        <v>0</v>
      </c>
      <c r="G46">
        <f>F46/D46</f>
        <v>0</v>
      </c>
      <c r="H46">
        <v>1</v>
      </c>
      <c r="I46">
        <f>H46/D46</f>
        <v>1</v>
      </c>
      <c r="J46">
        <v>0</v>
      </c>
      <c r="K46">
        <f t="shared" si="18"/>
        <v>0</v>
      </c>
      <c r="L46">
        <v>0</v>
      </c>
      <c r="M46">
        <f t="shared" si="19"/>
        <v>0</v>
      </c>
      <c r="N46">
        <f t="shared" si="15"/>
        <v>4</v>
      </c>
      <c r="O46">
        <v>28</v>
      </c>
      <c r="P46">
        <f t="shared" ref="P46:P51" si="22">O46/44</f>
        <v>0.63636363636363635</v>
      </c>
      <c r="Q46">
        <v>0</v>
      </c>
      <c r="R46">
        <f t="shared" si="20"/>
        <v>0</v>
      </c>
      <c r="S46">
        <v>0</v>
      </c>
      <c r="T46">
        <f t="shared" si="21"/>
        <v>0</v>
      </c>
    </row>
    <row r="47" spans="1:20">
      <c r="A47" s="1"/>
      <c r="B47">
        <v>4</v>
      </c>
      <c r="C47" t="s">
        <v>3</v>
      </c>
      <c r="D47">
        <v>1</v>
      </c>
      <c r="E47">
        <f>D47/42</f>
        <v>2.3809523809523808E-2</v>
      </c>
      <c r="F47">
        <v>0</v>
      </c>
      <c r="G47">
        <f t="shared" si="16"/>
        <v>0</v>
      </c>
      <c r="H47">
        <v>1</v>
      </c>
      <c r="I47">
        <f t="shared" si="17"/>
        <v>1</v>
      </c>
      <c r="J47">
        <v>0</v>
      </c>
      <c r="K47">
        <f t="shared" si="18"/>
        <v>0</v>
      </c>
      <c r="L47">
        <v>0</v>
      </c>
      <c r="M47">
        <f t="shared" si="19"/>
        <v>0</v>
      </c>
      <c r="N47">
        <f t="shared" si="15"/>
        <v>4</v>
      </c>
      <c r="O47">
        <v>34</v>
      </c>
      <c r="P47">
        <f t="shared" si="22"/>
        <v>0.77272727272727271</v>
      </c>
      <c r="Q47">
        <v>0</v>
      </c>
      <c r="R47">
        <f t="shared" si="20"/>
        <v>0</v>
      </c>
      <c r="S47">
        <v>0</v>
      </c>
      <c r="T47">
        <f t="shared" si="21"/>
        <v>0</v>
      </c>
    </row>
    <row r="48" spans="1:20">
      <c r="A48" s="1"/>
      <c r="B48">
        <v>5</v>
      </c>
      <c r="C48" t="s">
        <v>4</v>
      </c>
      <c r="G48" t="e">
        <f t="shared" si="16"/>
        <v>#DIV/0!</v>
      </c>
      <c r="I48" t="e">
        <f t="shared" si="17"/>
        <v>#DIV/0!</v>
      </c>
      <c r="K48" t="e">
        <f t="shared" si="18"/>
        <v>#DIV/0!</v>
      </c>
      <c r="M48" t="e">
        <f t="shared" si="19"/>
        <v>#DIV/0!</v>
      </c>
      <c r="N48" t="e">
        <f t="shared" si="15"/>
        <v>#DIV/0!</v>
      </c>
      <c r="P48">
        <f t="shared" si="22"/>
        <v>0</v>
      </c>
      <c r="R48" t="e">
        <f t="shared" si="20"/>
        <v>#DIV/0!</v>
      </c>
      <c r="T48" t="e">
        <f t="shared" si="21"/>
        <v>#DIV/0!</v>
      </c>
    </row>
    <row r="49" spans="1:20">
      <c r="A49" s="1"/>
      <c r="B49">
        <v>6</v>
      </c>
      <c r="C49" t="s">
        <v>5</v>
      </c>
      <c r="G49" t="e">
        <f t="shared" si="16"/>
        <v>#DIV/0!</v>
      </c>
      <c r="I49" t="e">
        <f t="shared" si="17"/>
        <v>#DIV/0!</v>
      </c>
      <c r="K49" t="e">
        <f t="shared" si="18"/>
        <v>#DIV/0!</v>
      </c>
      <c r="M49" t="e">
        <f t="shared" si="19"/>
        <v>#DIV/0!</v>
      </c>
      <c r="N49" t="e">
        <f t="shared" si="15"/>
        <v>#DIV/0!</v>
      </c>
      <c r="P49">
        <f t="shared" si="22"/>
        <v>0</v>
      </c>
      <c r="R49" t="e">
        <f t="shared" si="20"/>
        <v>#DIV/0!</v>
      </c>
      <c r="T49" t="e">
        <f t="shared" si="21"/>
        <v>#DIV/0!</v>
      </c>
    </row>
    <row r="50" spans="1:20">
      <c r="A50" s="1"/>
      <c r="B50">
        <v>7</v>
      </c>
      <c r="C50" t="s">
        <v>16</v>
      </c>
      <c r="G50" t="e">
        <f t="shared" si="16"/>
        <v>#DIV/0!</v>
      </c>
      <c r="I50" t="e">
        <f t="shared" si="17"/>
        <v>#DIV/0!</v>
      </c>
      <c r="K50" t="e">
        <f t="shared" si="18"/>
        <v>#DIV/0!</v>
      </c>
      <c r="M50" t="e">
        <f t="shared" si="19"/>
        <v>#DIV/0!</v>
      </c>
      <c r="N50" t="e">
        <f t="shared" si="15"/>
        <v>#DIV/0!</v>
      </c>
      <c r="P50">
        <f t="shared" si="22"/>
        <v>0</v>
      </c>
      <c r="R50" t="e">
        <f t="shared" si="20"/>
        <v>#DIV/0!</v>
      </c>
      <c r="T50" t="e">
        <f t="shared" si="21"/>
        <v>#DIV/0!</v>
      </c>
    </row>
    <row r="51" spans="1:20">
      <c r="A51" s="1"/>
      <c r="B51">
        <v>8</v>
      </c>
      <c r="C51" t="s">
        <v>17</v>
      </c>
      <c r="G51" t="e">
        <f t="shared" si="16"/>
        <v>#DIV/0!</v>
      </c>
      <c r="I51" t="e">
        <f t="shared" si="17"/>
        <v>#DIV/0!</v>
      </c>
      <c r="K51" t="e">
        <f t="shared" si="18"/>
        <v>#DIV/0!</v>
      </c>
      <c r="M51" t="e">
        <f t="shared" si="19"/>
        <v>#DIV/0!</v>
      </c>
      <c r="N51" t="e">
        <f t="shared" si="15"/>
        <v>#DIV/0!</v>
      </c>
      <c r="P51">
        <f t="shared" si="22"/>
        <v>0</v>
      </c>
      <c r="R51" t="e">
        <f t="shared" si="20"/>
        <v>#DIV/0!</v>
      </c>
      <c r="T51" t="e">
        <f t="shared" si="21"/>
        <v>#DIV/0!</v>
      </c>
    </row>
    <row r="52" spans="1:20">
      <c r="A52" s="1"/>
      <c r="C52" t="s">
        <v>6</v>
      </c>
      <c r="D52">
        <f>SUM(D44:D51)</f>
        <v>5</v>
      </c>
      <c r="E52">
        <f>D52/262</f>
        <v>1.9083969465648856E-2</v>
      </c>
      <c r="F52">
        <f>SUM(F44:F51)</f>
        <v>1</v>
      </c>
      <c r="G52">
        <f t="shared" si="16"/>
        <v>0.2</v>
      </c>
      <c r="H52">
        <f>SUM(H44:H51)</f>
        <v>3</v>
      </c>
      <c r="I52">
        <f t="shared" si="17"/>
        <v>0.6</v>
      </c>
      <c r="J52">
        <f>SUM(J44:J51)</f>
        <v>1</v>
      </c>
      <c r="K52">
        <f t="shared" si="18"/>
        <v>0.2</v>
      </c>
      <c r="L52">
        <v>1</v>
      </c>
      <c r="M52">
        <f t="shared" si="19"/>
        <v>0.2</v>
      </c>
      <c r="N52">
        <f>(F52*5+H52*4+J52*3)/D52</f>
        <v>4</v>
      </c>
      <c r="O52">
        <f>(128)/5</f>
        <v>25.6</v>
      </c>
      <c r="P52">
        <f>128/(D52*44)</f>
        <v>0.58181818181818179</v>
      </c>
      <c r="Q52">
        <f>SUM(Q44:Q51)</f>
        <v>0</v>
      </c>
      <c r="R52">
        <f t="shared" si="20"/>
        <v>0</v>
      </c>
      <c r="S52">
        <f>SUM(S44:S51)</f>
        <v>0</v>
      </c>
      <c r="T52">
        <f t="shared" si="21"/>
        <v>0</v>
      </c>
    </row>
    <row r="53" spans="1:20">
      <c r="A53" s="1"/>
      <c r="C53" t="s">
        <v>21</v>
      </c>
    </row>
  </sheetData>
  <mergeCells count="37">
    <mergeCell ref="Q2:R2"/>
    <mergeCell ref="S2:T2"/>
    <mergeCell ref="A1:S1"/>
    <mergeCell ref="A2:A13"/>
    <mergeCell ref="D2:E2"/>
    <mergeCell ref="F2:G2"/>
    <mergeCell ref="H2:I2"/>
    <mergeCell ref="J2:K2"/>
    <mergeCell ref="L2:M2"/>
    <mergeCell ref="N2:N3"/>
    <mergeCell ref="O2:O3"/>
    <mergeCell ref="P2:P3"/>
    <mergeCell ref="O15:O16"/>
    <mergeCell ref="P15:P16"/>
    <mergeCell ref="Q15:R15"/>
    <mergeCell ref="S15:T15"/>
    <mergeCell ref="D42:E42"/>
    <mergeCell ref="F42:G42"/>
    <mergeCell ref="H42:I42"/>
    <mergeCell ref="J42:K42"/>
    <mergeCell ref="L42:M42"/>
    <mergeCell ref="A14:S14"/>
    <mergeCell ref="A42:A53"/>
    <mergeCell ref="A29:A40"/>
    <mergeCell ref="O42:O43"/>
    <mergeCell ref="B28:T28"/>
    <mergeCell ref="A15:A26"/>
    <mergeCell ref="D15:E15"/>
    <mergeCell ref="F15:G15"/>
    <mergeCell ref="H15:I15"/>
    <mergeCell ref="J15:K15"/>
    <mergeCell ref="N42:N43"/>
    <mergeCell ref="L15:M15"/>
    <mergeCell ref="P42:P43"/>
    <mergeCell ref="Q42:R42"/>
    <mergeCell ref="S42:T42"/>
    <mergeCell ref="N15:N1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52"/>
  <sheetViews>
    <sheetView view="pageBreakPreview" topLeftCell="A4" zoomScale="60" workbookViewId="0">
      <selection activeCell="C4" sqref="C4:C9"/>
    </sheetView>
  </sheetViews>
  <sheetFormatPr defaultRowHeight="15"/>
  <cols>
    <col min="2" max="2" width="6.42578125" customWidth="1"/>
    <col min="3" max="3" width="15.28515625" customWidth="1"/>
    <col min="4" max="4" width="6" customWidth="1"/>
    <col min="5" max="5" width="7.85546875" customWidth="1"/>
    <col min="6" max="6" width="5.28515625" customWidth="1"/>
    <col min="7" max="7" width="9.28515625" bestFit="1" customWidth="1"/>
    <col min="8" max="8" width="4.5703125" customWidth="1"/>
    <col min="9" max="9" width="8.140625" customWidth="1"/>
    <col min="10" max="10" width="4.7109375" customWidth="1"/>
    <col min="11" max="11" width="8.140625" customWidth="1"/>
    <col min="12" max="12" width="5.7109375" customWidth="1"/>
    <col min="13" max="13" width="9.28515625" bestFit="1" customWidth="1"/>
    <col min="14" max="15" width="7" customWidth="1"/>
    <col min="16" max="16" width="7.7109375" customWidth="1"/>
    <col min="17" max="17" width="6.28515625" customWidth="1"/>
    <col min="18" max="18" width="9.28515625" bestFit="1" customWidth="1"/>
    <col min="19" max="19" width="14" bestFit="1" customWidth="1"/>
  </cols>
  <sheetData>
    <row r="1" spans="1:20">
      <c r="B1" s="1" t="s">
        <v>193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46.5" customHeight="1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15</v>
      </c>
      <c r="M2" s="1"/>
      <c r="N2" s="1" t="s">
        <v>24</v>
      </c>
      <c r="O2" s="1" t="s">
        <v>14</v>
      </c>
      <c r="P2" s="1" t="s">
        <v>140</v>
      </c>
      <c r="Q2" s="1" t="s">
        <v>194</v>
      </c>
      <c r="R2" s="1"/>
      <c r="S2" s="1" t="s">
        <v>195</v>
      </c>
      <c r="T2" s="1"/>
    </row>
    <row r="3" spans="1:20" ht="75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s="1"/>
      <c r="O3" s="1"/>
      <c r="P3" s="1"/>
      <c r="Q3" t="s">
        <v>8</v>
      </c>
      <c r="R3" t="s">
        <v>10</v>
      </c>
      <c r="S3" t="s">
        <v>8</v>
      </c>
      <c r="T3" t="s">
        <v>10</v>
      </c>
    </row>
    <row r="4" spans="1:20" ht="17.25" customHeight="1">
      <c r="A4" s="1"/>
      <c r="B4">
        <v>1</v>
      </c>
      <c r="C4" t="s">
        <v>0</v>
      </c>
      <c r="D4">
        <v>3</v>
      </c>
      <c r="E4">
        <f>D4/56</f>
        <v>5.3571428571428568E-2</v>
      </c>
      <c r="F4">
        <v>1</v>
      </c>
      <c r="G4">
        <f>F4/D4</f>
        <v>0.33333333333333331</v>
      </c>
      <c r="H4">
        <v>2</v>
      </c>
      <c r="I4">
        <f>H4/D4</f>
        <v>0.66666666666666663</v>
      </c>
      <c r="J4">
        <v>0</v>
      </c>
      <c r="K4">
        <f>J4/D4</f>
        <v>0</v>
      </c>
      <c r="L4">
        <v>0</v>
      </c>
      <c r="M4">
        <f>L4/D4</f>
        <v>0</v>
      </c>
      <c r="N4">
        <v>4.33</v>
      </c>
      <c r="O4">
        <v>34.659999999999997</v>
      </c>
      <c r="P4">
        <f>O4/45</f>
        <v>0.77022222222222214</v>
      </c>
      <c r="Q4">
        <v>1</v>
      </c>
      <c r="R4">
        <f>Q4/D4</f>
        <v>0.33333333333333331</v>
      </c>
      <c r="S4">
        <v>0</v>
      </c>
      <c r="T4">
        <f>S4/D4</f>
        <v>0</v>
      </c>
    </row>
    <row r="5" spans="1:20" ht="19.5" customHeight="1">
      <c r="A5" s="1"/>
      <c r="B5">
        <v>2</v>
      </c>
      <c r="C5" t="s">
        <v>1</v>
      </c>
      <c r="D5">
        <v>0</v>
      </c>
      <c r="E5">
        <f>D5/35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>
      <c r="A6" s="1"/>
      <c r="B6">
        <v>3</v>
      </c>
      <c r="C6" t="s">
        <v>2</v>
      </c>
      <c r="D6">
        <v>0</v>
      </c>
      <c r="E6">
        <f>D6/97</f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>
      <c r="A7" s="1"/>
      <c r="B7">
        <v>4</v>
      </c>
      <c r="C7" t="s">
        <v>3</v>
      </c>
      <c r="D7">
        <v>0</v>
      </c>
      <c r="E7">
        <f>D7/52</f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>
      <c r="A8" s="1"/>
      <c r="B8">
        <v>5</v>
      </c>
      <c r="C8" t="s">
        <v>4</v>
      </c>
      <c r="D8">
        <v>0</v>
      </c>
      <c r="E8">
        <f>D8/2</f>
        <v>0</v>
      </c>
      <c r="F8">
        <v>0</v>
      </c>
      <c r="G8">
        <v>0</v>
      </c>
      <c r="H8">
        <v>0</v>
      </c>
      <c r="I8">
        <v>0</v>
      </c>
      <c r="K8">
        <v>0</v>
      </c>
      <c r="M8">
        <v>0</v>
      </c>
      <c r="N8">
        <v>0</v>
      </c>
      <c r="O8">
        <v>0</v>
      </c>
      <c r="P8">
        <f>O8/33</f>
        <v>0</v>
      </c>
      <c r="Q8">
        <v>0</v>
      </c>
      <c r="R8">
        <v>0</v>
      </c>
      <c r="S8">
        <v>0</v>
      </c>
      <c r="T8">
        <v>0</v>
      </c>
    </row>
    <row r="9" spans="1:20">
      <c r="A9" s="1"/>
      <c r="B9">
        <v>6</v>
      </c>
      <c r="C9" t="s">
        <v>5</v>
      </c>
      <c r="D9">
        <v>0</v>
      </c>
      <c r="E9">
        <f>D9/11</f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27.75" customHeight="1">
      <c r="A10" s="1"/>
      <c r="B10">
        <v>7</v>
      </c>
      <c r="C10" t="s">
        <v>16</v>
      </c>
      <c r="D10">
        <v>0</v>
      </c>
      <c r="E10">
        <f>D10/7</f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s="1"/>
      <c r="B11">
        <v>8</v>
      </c>
      <c r="C11" t="s">
        <v>17</v>
      </c>
      <c r="D11">
        <v>0</v>
      </c>
      <c r="E11">
        <f>D11/3</f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>O11/33</f>
        <v>0</v>
      </c>
      <c r="Q11">
        <v>0</v>
      </c>
      <c r="R11">
        <v>0</v>
      </c>
      <c r="S11">
        <v>0</v>
      </c>
      <c r="T11">
        <v>0</v>
      </c>
    </row>
    <row r="12" spans="1:20">
      <c r="A12" s="1"/>
      <c r="C12" t="s">
        <v>6</v>
      </c>
      <c r="D12">
        <f>SUM(D4:D11)</f>
        <v>3</v>
      </c>
      <c r="E12">
        <f>D12/283</f>
        <v>1.0600706713780919E-2</v>
      </c>
      <c r="F12">
        <f>SUM(F4:F11)</f>
        <v>1</v>
      </c>
      <c r="G12">
        <f>F12/D12</f>
        <v>0.33333333333333331</v>
      </c>
      <c r="H12">
        <f>SUM(H4:H11)</f>
        <v>2</v>
      </c>
      <c r="I12">
        <f>H12/D12</f>
        <v>0.66666666666666663</v>
      </c>
      <c r="J12">
        <f>SUM(J4:J11)</f>
        <v>0</v>
      </c>
      <c r="K12">
        <f>J12/D12</f>
        <v>0</v>
      </c>
      <c r="L12">
        <f>SUM(L4:L11)</f>
        <v>0</v>
      </c>
      <c r="M12">
        <f>L12/D12</f>
        <v>0</v>
      </c>
      <c r="N12">
        <v>4.3</v>
      </c>
      <c r="O12">
        <f>104/D12</f>
        <v>34.666666666666664</v>
      </c>
      <c r="P12">
        <f>104/(45*D12)</f>
        <v>0.77037037037037037</v>
      </c>
      <c r="Q12">
        <f>SUM(Q4:Q11)</f>
        <v>1</v>
      </c>
      <c r="R12">
        <f>Q12/D12</f>
        <v>0.33333333333333331</v>
      </c>
      <c r="S12">
        <f>SUM(S4:S11)</f>
        <v>0</v>
      </c>
      <c r="T12">
        <f>S12/D12</f>
        <v>0</v>
      </c>
    </row>
    <row r="13" spans="1:20">
      <c r="A13" s="1"/>
      <c r="C13" t="s">
        <v>21</v>
      </c>
    </row>
    <row r="14" spans="1:20">
      <c r="B14" s="1" t="s">
        <v>169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24</v>
      </c>
      <c r="O15" s="1" t="s">
        <v>14</v>
      </c>
      <c r="P15" s="1" t="s">
        <v>140</v>
      </c>
      <c r="Q15" s="1" t="s">
        <v>141</v>
      </c>
      <c r="R15" s="1"/>
      <c r="S15" s="1" t="s">
        <v>151</v>
      </c>
      <c r="T15" s="1"/>
    </row>
    <row r="16" spans="1:20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s="1"/>
      <c r="O16" s="1"/>
      <c r="P16" s="1"/>
      <c r="Q16" t="s">
        <v>8</v>
      </c>
      <c r="R16" t="s">
        <v>10</v>
      </c>
      <c r="S16" t="s">
        <v>8</v>
      </c>
      <c r="T16" t="s">
        <v>10</v>
      </c>
    </row>
    <row r="17" spans="1:20">
      <c r="A17" s="1"/>
      <c r="B17">
        <v>1</v>
      </c>
      <c r="C17" t="s">
        <v>0</v>
      </c>
      <c r="D17">
        <v>1</v>
      </c>
      <c r="E17">
        <f>D17/43</f>
        <v>2.3255813953488372E-2</v>
      </c>
      <c r="F17">
        <v>1</v>
      </c>
      <c r="G17">
        <f>F17/D17</f>
        <v>1</v>
      </c>
      <c r="H17">
        <v>0</v>
      </c>
      <c r="I17">
        <f>H17/D17</f>
        <v>0</v>
      </c>
      <c r="J17">
        <v>0</v>
      </c>
      <c r="K17">
        <f>J17/D17</f>
        <v>0</v>
      </c>
      <c r="L17">
        <v>0</v>
      </c>
      <c r="M17">
        <f>L17/D17</f>
        <v>0</v>
      </c>
      <c r="N17">
        <f>(F17*5+H17*4+J17*3+L17*2)/D17</f>
        <v>5</v>
      </c>
      <c r="O17">
        <f>29/D17</f>
        <v>29</v>
      </c>
      <c r="P17">
        <f t="shared" ref="P17:P24" si="0">O17/33</f>
        <v>0.87878787878787878</v>
      </c>
      <c r="Q17">
        <v>0</v>
      </c>
      <c r="R17">
        <f>Q17/D17</f>
        <v>0</v>
      </c>
      <c r="S17">
        <v>0</v>
      </c>
      <c r="T17">
        <f>S17/D17</f>
        <v>0</v>
      </c>
    </row>
    <row r="18" spans="1:20">
      <c r="A18" s="1"/>
      <c r="B18">
        <v>2</v>
      </c>
      <c r="C18" t="s">
        <v>1</v>
      </c>
      <c r="D18">
        <v>0</v>
      </c>
      <c r="E18">
        <f>D18/35</f>
        <v>0</v>
      </c>
      <c r="F18">
        <v>0</v>
      </c>
      <c r="G18" t="e">
        <f t="shared" ref="G18:G25" si="1">F18/D18</f>
        <v>#DIV/0!</v>
      </c>
      <c r="H18">
        <v>0</v>
      </c>
      <c r="I18" t="e">
        <f t="shared" ref="I18:I25" si="2">H18/D18</f>
        <v>#DIV/0!</v>
      </c>
      <c r="J18">
        <v>0</v>
      </c>
      <c r="K18" t="e">
        <f t="shared" ref="K18:K25" si="3">J18/D18</f>
        <v>#DIV/0!</v>
      </c>
      <c r="L18">
        <v>0</v>
      </c>
      <c r="M18" t="e">
        <f t="shared" ref="M18:M24" si="4">L18/D18</f>
        <v>#DIV/0!</v>
      </c>
      <c r="N18" t="e">
        <f t="shared" ref="N18:N25" si="5">(F18*5+H18*4+J18*3+L18*2)/D18</f>
        <v>#DIV/0!</v>
      </c>
      <c r="O18" t="e">
        <f>(17+14+9+14+23+19+14+12)/D18</f>
        <v>#DIV/0!</v>
      </c>
      <c r="P18" t="e">
        <f t="shared" si="0"/>
        <v>#DIV/0!</v>
      </c>
      <c r="Q18">
        <v>0</v>
      </c>
      <c r="R18" t="e">
        <f t="shared" ref="R18:R25" si="6">Q18/D18</f>
        <v>#DIV/0!</v>
      </c>
      <c r="S18">
        <v>0</v>
      </c>
      <c r="T18" t="e">
        <f t="shared" ref="T18:T25" si="7">S18/D18</f>
        <v>#DIV/0!</v>
      </c>
    </row>
    <row r="19" spans="1:20">
      <c r="A19" s="1"/>
      <c r="B19">
        <v>3</v>
      </c>
      <c r="C19" t="s">
        <v>2</v>
      </c>
      <c r="D19">
        <v>1</v>
      </c>
      <c r="E19">
        <f>D19/97</f>
        <v>1.0309278350515464E-2</v>
      </c>
      <c r="F19">
        <v>1</v>
      </c>
      <c r="G19">
        <f t="shared" si="1"/>
        <v>1</v>
      </c>
      <c r="H19">
        <v>0</v>
      </c>
      <c r="I19">
        <f t="shared" si="2"/>
        <v>0</v>
      </c>
      <c r="J19">
        <v>0</v>
      </c>
      <c r="K19">
        <f t="shared" si="3"/>
        <v>0</v>
      </c>
      <c r="L19">
        <v>0</v>
      </c>
      <c r="M19">
        <f t="shared" si="4"/>
        <v>0</v>
      </c>
      <c r="N19">
        <f t="shared" si="5"/>
        <v>5</v>
      </c>
      <c r="O19">
        <f>31/D19</f>
        <v>31</v>
      </c>
      <c r="P19">
        <f t="shared" si="0"/>
        <v>0.93939393939393945</v>
      </c>
      <c r="Q19">
        <v>1</v>
      </c>
      <c r="R19">
        <f t="shared" si="6"/>
        <v>1</v>
      </c>
      <c r="S19">
        <v>0</v>
      </c>
      <c r="T19">
        <f t="shared" si="7"/>
        <v>0</v>
      </c>
    </row>
    <row r="20" spans="1:20">
      <c r="A20" s="1"/>
      <c r="B20">
        <v>4</v>
      </c>
      <c r="C20" t="s">
        <v>3</v>
      </c>
      <c r="E20">
        <f>D20/52</f>
        <v>0</v>
      </c>
      <c r="G20" t="e">
        <f t="shared" si="1"/>
        <v>#DIV/0!</v>
      </c>
      <c r="I20" t="e">
        <f t="shared" si="2"/>
        <v>#DIV/0!</v>
      </c>
      <c r="J20">
        <v>0</v>
      </c>
      <c r="K20" t="e">
        <f t="shared" si="3"/>
        <v>#DIV/0!</v>
      </c>
      <c r="L20">
        <v>0</v>
      </c>
      <c r="M20" t="e">
        <f t="shared" si="4"/>
        <v>#DIV/0!</v>
      </c>
      <c r="N20" t="e">
        <f t="shared" si="5"/>
        <v>#DIV/0!</v>
      </c>
      <c r="O20" t="e">
        <f>98/D20</f>
        <v>#DIV/0!</v>
      </c>
      <c r="P20" t="e">
        <f t="shared" si="0"/>
        <v>#DIV/0!</v>
      </c>
      <c r="Q20">
        <v>0</v>
      </c>
      <c r="R20" t="e">
        <f t="shared" si="6"/>
        <v>#DIV/0!</v>
      </c>
      <c r="S20">
        <v>0</v>
      </c>
      <c r="T20" t="e">
        <f t="shared" si="7"/>
        <v>#DIV/0!</v>
      </c>
    </row>
    <row r="21" spans="1:20">
      <c r="A21" s="1"/>
      <c r="B21">
        <v>5</v>
      </c>
      <c r="C21" t="s">
        <v>4</v>
      </c>
      <c r="E21">
        <f>D21/2</f>
        <v>0</v>
      </c>
      <c r="G21" t="e">
        <f t="shared" si="1"/>
        <v>#DIV/0!</v>
      </c>
      <c r="I21" t="e">
        <f t="shared" si="2"/>
        <v>#DIV/0!</v>
      </c>
      <c r="K21" t="e">
        <f t="shared" si="3"/>
        <v>#DIV/0!</v>
      </c>
      <c r="M21" t="e">
        <f t="shared" si="4"/>
        <v>#DIV/0!</v>
      </c>
      <c r="N21" t="e">
        <f t="shared" si="5"/>
        <v>#DIV/0!</v>
      </c>
      <c r="O21">
        <v>0</v>
      </c>
      <c r="P21">
        <f t="shared" si="0"/>
        <v>0</v>
      </c>
      <c r="Q21">
        <v>0</v>
      </c>
      <c r="R21" t="e">
        <f t="shared" si="6"/>
        <v>#DIV/0!</v>
      </c>
      <c r="T21" t="e">
        <f t="shared" si="7"/>
        <v>#DIV/0!</v>
      </c>
    </row>
    <row r="22" spans="1:20">
      <c r="A22" s="1"/>
      <c r="B22">
        <v>6</v>
      </c>
      <c r="C22" t="s">
        <v>5</v>
      </c>
      <c r="E22">
        <f>D22/11</f>
        <v>0</v>
      </c>
      <c r="G22" t="e">
        <f t="shared" si="1"/>
        <v>#DIV/0!</v>
      </c>
      <c r="I22" t="e">
        <f t="shared" si="2"/>
        <v>#DIV/0!</v>
      </c>
      <c r="J22">
        <v>0</v>
      </c>
      <c r="K22" t="e">
        <f t="shared" si="3"/>
        <v>#DIV/0!</v>
      </c>
      <c r="L22">
        <v>0</v>
      </c>
      <c r="M22" t="e">
        <f t="shared" si="4"/>
        <v>#DIV/0!</v>
      </c>
      <c r="N22" t="e">
        <f t="shared" si="5"/>
        <v>#DIV/0!</v>
      </c>
      <c r="O22" t="e">
        <f>28/D22</f>
        <v>#DIV/0!</v>
      </c>
      <c r="P22" t="e">
        <f t="shared" si="0"/>
        <v>#DIV/0!</v>
      </c>
      <c r="Q22">
        <v>0</v>
      </c>
      <c r="R22" t="e">
        <f t="shared" si="6"/>
        <v>#DIV/0!</v>
      </c>
      <c r="S22">
        <v>0</v>
      </c>
      <c r="T22" t="e">
        <f t="shared" si="7"/>
        <v>#DIV/0!</v>
      </c>
    </row>
    <row r="23" spans="1:20">
      <c r="A23" s="1"/>
      <c r="B23">
        <v>7</v>
      </c>
      <c r="C23" t="s">
        <v>16</v>
      </c>
      <c r="E23">
        <f>D23/7</f>
        <v>0</v>
      </c>
      <c r="G23" t="e">
        <f t="shared" si="1"/>
        <v>#DIV/0!</v>
      </c>
      <c r="I23" t="e">
        <f t="shared" si="2"/>
        <v>#DIV/0!</v>
      </c>
      <c r="J23">
        <v>0</v>
      </c>
      <c r="K23" t="e">
        <f t="shared" si="3"/>
        <v>#DIV/0!</v>
      </c>
      <c r="L23">
        <v>0</v>
      </c>
      <c r="M23" t="e">
        <f t="shared" si="4"/>
        <v>#DIV/0!</v>
      </c>
      <c r="N23" t="e">
        <f t="shared" si="5"/>
        <v>#DIV/0!</v>
      </c>
      <c r="O23" t="e">
        <f>24/D23</f>
        <v>#DIV/0!</v>
      </c>
      <c r="P23" t="e">
        <f t="shared" si="0"/>
        <v>#DIV/0!</v>
      </c>
      <c r="Q23">
        <v>0</v>
      </c>
      <c r="R23" t="e">
        <f t="shared" si="6"/>
        <v>#DIV/0!</v>
      </c>
      <c r="T23" t="e">
        <f t="shared" si="7"/>
        <v>#DIV/0!</v>
      </c>
    </row>
    <row r="24" spans="1:20">
      <c r="A24" s="1"/>
      <c r="B24">
        <v>8</v>
      </c>
      <c r="C24" t="s">
        <v>17</v>
      </c>
      <c r="E24">
        <f>D24/3</f>
        <v>0</v>
      </c>
      <c r="G24" t="e">
        <f t="shared" si="1"/>
        <v>#DIV/0!</v>
      </c>
      <c r="I24" t="e">
        <f t="shared" si="2"/>
        <v>#DIV/0!</v>
      </c>
      <c r="K24" t="e">
        <f t="shared" si="3"/>
        <v>#DIV/0!</v>
      </c>
      <c r="M24" t="e">
        <f t="shared" si="4"/>
        <v>#DIV/0!</v>
      </c>
      <c r="N24" t="e">
        <f t="shared" si="5"/>
        <v>#DIV/0!</v>
      </c>
      <c r="P24">
        <f t="shared" si="0"/>
        <v>0</v>
      </c>
      <c r="Q24">
        <v>0</v>
      </c>
      <c r="R24" t="e">
        <f t="shared" si="6"/>
        <v>#DIV/0!</v>
      </c>
      <c r="T24" t="e">
        <f t="shared" si="7"/>
        <v>#DIV/0!</v>
      </c>
    </row>
    <row r="25" spans="1:20">
      <c r="A25" s="1"/>
      <c r="C25" t="s">
        <v>6</v>
      </c>
      <c r="D25">
        <f>SUM(D17:D24)</f>
        <v>2</v>
      </c>
      <c r="E25">
        <f>D25/257</f>
        <v>7.7821011673151752E-3</v>
      </c>
      <c r="F25">
        <f>SUM(F17:F24)</f>
        <v>2</v>
      </c>
      <c r="G25">
        <f t="shared" si="1"/>
        <v>1</v>
      </c>
      <c r="H25">
        <f>SUM(H17:H24)</f>
        <v>0</v>
      </c>
      <c r="I25">
        <f t="shared" si="2"/>
        <v>0</v>
      </c>
      <c r="J25">
        <f>SUM(J17:J24)</f>
        <v>0</v>
      </c>
      <c r="K25">
        <f t="shared" si="3"/>
        <v>0</v>
      </c>
      <c r="L25">
        <f>SUM(L17:L24)</f>
        <v>0</v>
      </c>
      <c r="M25">
        <f>L25/D25</f>
        <v>0</v>
      </c>
      <c r="N25">
        <f t="shared" si="5"/>
        <v>5</v>
      </c>
      <c r="O25">
        <f>60/D25</f>
        <v>30</v>
      </c>
      <c r="P25">
        <f>60/(33*D25)</f>
        <v>0.90909090909090906</v>
      </c>
      <c r="Q25">
        <f>SUM(Q17:Q24)</f>
        <v>1</v>
      </c>
      <c r="R25">
        <f t="shared" si="6"/>
        <v>0.5</v>
      </c>
      <c r="S25">
        <f>SUM(S17:S24)</f>
        <v>0</v>
      </c>
      <c r="T25">
        <f t="shared" si="7"/>
        <v>0</v>
      </c>
    </row>
    <row r="26" spans="1:20">
      <c r="A26" s="1"/>
      <c r="C26" t="s">
        <v>21</v>
      </c>
      <c r="M26">
        <v>3.1699999999999999E-2</v>
      </c>
      <c r="N26">
        <v>4.16</v>
      </c>
      <c r="O26">
        <v>24.07</v>
      </c>
    </row>
    <row r="28" spans="1:20">
      <c r="B28" s="1" t="s">
        <v>139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0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N29" s="1" t="s">
        <v>24</v>
      </c>
      <c r="O29" s="1" t="s">
        <v>14</v>
      </c>
      <c r="P29" s="1" t="s">
        <v>140</v>
      </c>
      <c r="Q29" s="1" t="s">
        <v>141</v>
      </c>
      <c r="R29" s="1"/>
      <c r="S29" s="1" t="s">
        <v>151</v>
      </c>
      <c r="T29" s="1"/>
    </row>
    <row r="30" spans="1:20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N30" s="1"/>
      <c r="O30" s="1"/>
      <c r="P30" s="1"/>
      <c r="Q30" t="s">
        <v>8</v>
      </c>
      <c r="R30" t="s">
        <v>10</v>
      </c>
      <c r="S30" t="s">
        <v>8</v>
      </c>
      <c r="T30" t="s">
        <v>10</v>
      </c>
    </row>
    <row r="31" spans="1:20">
      <c r="A31" s="1"/>
      <c r="B31">
        <v>1</v>
      </c>
      <c r="C31" t="s">
        <v>0</v>
      </c>
      <c r="D31">
        <v>3</v>
      </c>
      <c r="E31">
        <f>D31/51</f>
        <v>5.8823529411764705E-2</v>
      </c>
      <c r="F31">
        <v>1</v>
      </c>
      <c r="G31">
        <f>F31/D31</f>
        <v>0.33333333333333331</v>
      </c>
      <c r="H31">
        <v>2</v>
      </c>
      <c r="I31">
        <f>H31/D31</f>
        <v>0.66666666666666663</v>
      </c>
      <c r="J31">
        <v>0</v>
      </c>
      <c r="K31">
        <f>J31/D31</f>
        <v>0</v>
      </c>
      <c r="L31">
        <v>0</v>
      </c>
      <c r="M31">
        <f>L31/D31</f>
        <v>0</v>
      </c>
      <c r="N31">
        <f>(F31*5+H31*4+J31*3+L31*2)/D31</f>
        <v>4.333333333333333</v>
      </c>
      <c r="O31">
        <f>78/D31</f>
        <v>26</v>
      </c>
      <c r="P31">
        <f t="shared" ref="P31:P38" si="8">O31/33</f>
        <v>0.78787878787878785</v>
      </c>
      <c r="Q31">
        <v>0</v>
      </c>
      <c r="R31">
        <f>Q31/D31</f>
        <v>0</v>
      </c>
      <c r="S31">
        <v>0</v>
      </c>
      <c r="T31">
        <f>S31/D31</f>
        <v>0</v>
      </c>
    </row>
    <row r="32" spans="1:20">
      <c r="A32" s="1"/>
      <c r="B32">
        <v>2</v>
      </c>
      <c r="C32" t="s">
        <v>1</v>
      </c>
      <c r="D32">
        <v>0</v>
      </c>
      <c r="E32">
        <f>D32/35</f>
        <v>0</v>
      </c>
      <c r="F32">
        <v>0</v>
      </c>
      <c r="G32" t="e">
        <f t="shared" ref="G32:G39" si="9">F32/D32</f>
        <v>#DIV/0!</v>
      </c>
      <c r="H32">
        <v>0</v>
      </c>
      <c r="I32" t="e">
        <f t="shared" ref="I32:I39" si="10">H32/D32</f>
        <v>#DIV/0!</v>
      </c>
      <c r="J32">
        <v>0</v>
      </c>
      <c r="K32" t="e">
        <f t="shared" ref="K32:K39" si="11">J32/D32</f>
        <v>#DIV/0!</v>
      </c>
      <c r="L32">
        <v>0</v>
      </c>
      <c r="M32" t="e">
        <f t="shared" ref="M32:M38" si="12">L32/D32</f>
        <v>#DIV/0!</v>
      </c>
      <c r="N32" t="e">
        <f t="shared" ref="N32:N39" si="13">(F32*5+H32*4+J32*3+L32*2)/D32</f>
        <v>#DIV/0!</v>
      </c>
      <c r="O32" t="e">
        <f>(17+14+9+14+23+19+14+12)/D32</f>
        <v>#DIV/0!</v>
      </c>
      <c r="P32" t="e">
        <f t="shared" si="8"/>
        <v>#DIV/0!</v>
      </c>
      <c r="Q32">
        <v>0</v>
      </c>
      <c r="R32" t="e">
        <f t="shared" ref="R32:R39" si="14">Q32/D32</f>
        <v>#DIV/0!</v>
      </c>
      <c r="S32">
        <v>0</v>
      </c>
      <c r="T32" t="e">
        <f t="shared" ref="T32:T39" si="15">S32/D32</f>
        <v>#DIV/0!</v>
      </c>
    </row>
    <row r="33" spans="1:20">
      <c r="A33" s="1"/>
      <c r="B33">
        <v>3</v>
      </c>
      <c r="C33" t="s">
        <v>2</v>
      </c>
      <c r="D33">
        <v>1</v>
      </c>
      <c r="E33">
        <f>D33/97</f>
        <v>1.0309278350515464E-2</v>
      </c>
      <c r="F33">
        <v>1</v>
      </c>
      <c r="G33">
        <f t="shared" si="9"/>
        <v>1</v>
      </c>
      <c r="H33">
        <v>0</v>
      </c>
      <c r="I33">
        <f t="shared" si="10"/>
        <v>0</v>
      </c>
      <c r="J33">
        <v>0</v>
      </c>
      <c r="K33">
        <f t="shared" si="11"/>
        <v>0</v>
      </c>
      <c r="L33">
        <v>0</v>
      </c>
      <c r="M33">
        <f t="shared" si="12"/>
        <v>0</v>
      </c>
      <c r="N33">
        <f t="shared" si="13"/>
        <v>5</v>
      </c>
      <c r="O33">
        <f>28/D33</f>
        <v>28</v>
      </c>
      <c r="P33">
        <f t="shared" si="8"/>
        <v>0.84848484848484851</v>
      </c>
      <c r="Q33">
        <v>0</v>
      </c>
      <c r="R33">
        <f t="shared" si="14"/>
        <v>0</v>
      </c>
      <c r="S33">
        <v>0</v>
      </c>
      <c r="T33">
        <f t="shared" si="15"/>
        <v>0</v>
      </c>
    </row>
    <row r="34" spans="1:20">
      <c r="A34" s="1"/>
      <c r="B34">
        <v>4</v>
      </c>
      <c r="C34" t="s">
        <v>3</v>
      </c>
      <c r="D34">
        <v>4</v>
      </c>
      <c r="E34">
        <f>D34/52</f>
        <v>7.6923076923076927E-2</v>
      </c>
      <c r="F34">
        <v>1</v>
      </c>
      <c r="G34">
        <f t="shared" si="9"/>
        <v>0.25</v>
      </c>
      <c r="H34">
        <v>3</v>
      </c>
      <c r="I34">
        <f t="shared" si="10"/>
        <v>0.75</v>
      </c>
      <c r="J34">
        <v>0</v>
      </c>
      <c r="K34">
        <f t="shared" si="11"/>
        <v>0</v>
      </c>
      <c r="L34">
        <v>0</v>
      </c>
      <c r="M34">
        <f t="shared" si="12"/>
        <v>0</v>
      </c>
      <c r="N34">
        <f t="shared" si="13"/>
        <v>4.25</v>
      </c>
      <c r="O34">
        <f>98/D34</f>
        <v>24.5</v>
      </c>
      <c r="P34">
        <f t="shared" si="8"/>
        <v>0.74242424242424243</v>
      </c>
      <c r="Q34">
        <v>0</v>
      </c>
      <c r="R34">
        <f t="shared" si="14"/>
        <v>0</v>
      </c>
      <c r="S34">
        <v>0</v>
      </c>
      <c r="T34">
        <f t="shared" si="15"/>
        <v>0</v>
      </c>
    </row>
    <row r="35" spans="1:20">
      <c r="A35" s="1"/>
      <c r="B35">
        <v>5</v>
      </c>
      <c r="C35" t="s">
        <v>4</v>
      </c>
      <c r="D35">
        <v>0</v>
      </c>
      <c r="E35">
        <f>D35/2</f>
        <v>0</v>
      </c>
      <c r="G35" t="e">
        <f t="shared" si="9"/>
        <v>#DIV/0!</v>
      </c>
      <c r="I35" t="e">
        <f t="shared" si="10"/>
        <v>#DIV/0!</v>
      </c>
      <c r="K35" t="e">
        <f t="shared" si="11"/>
        <v>#DIV/0!</v>
      </c>
      <c r="M35" t="e">
        <f t="shared" si="12"/>
        <v>#DIV/0!</v>
      </c>
      <c r="N35" t="e">
        <f t="shared" si="13"/>
        <v>#DIV/0!</v>
      </c>
      <c r="O35">
        <v>0</v>
      </c>
      <c r="P35">
        <f t="shared" si="8"/>
        <v>0</v>
      </c>
      <c r="Q35">
        <v>0</v>
      </c>
      <c r="R35" t="e">
        <f t="shared" si="14"/>
        <v>#DIV/0!</v>
      </c>
      <c r="T35" t="e">
        <f t="shared" si="15"/>
        <v>#DIV/0!</v>
      </c>
    </row>
    <row r="36" spans="1:20">
      <c r="A36" s="1"/>
      <c r="B36">
        <v>6</v>
      </c>
      <c r="C36" t="s">
        <v>5</v>
      </c>
      <c r="D36">
        <v>1</v>
      </c>
      <c r="E36">
        <f>D36/11</f>
        <v>9.0909090909090912E-2</v>
      </c>
      <c r="F36">
        <v>1</v>
      </c>
      <c r="G36">
        <f t="shared" si="9"/>
        <v>1</v>
      </c>
      <c r="H36">
        <v>0</v>
      </c>
      <c r="I36">
        <f t="shared" si="10"/>
        <v>0</v>
      </c>
      <c r="J36">
        <v>0</v>
      </c>
      <c r="K36">
        <f t="shared" si="11"/>
        <v>0</v>
      </c>
      <c r="L36">
        <v>0</v>
      </c>
      <c r="M36">
        <f t="shared" si="12"/>
        <v>0</v>
      </c>
      <c r="N36">
        <f t="shared" si="13"/>
        <v>5</v>
      </c>
      <c r="O36">
        <f>28/D36</f>
        <v>28</v>
      </c>
      <c r="P36">
        <f t="shared" si="8"/>
        <v>0.84848484848484851</v>
      </c>
      <c r="Q36">
        <v>0</v>
      </c>
      <c r="R36">
        <f t="shared" si="14"/>
        <v>0</v>
      </c>
      <c r="S36">
        <v>0</v>
      </c>
      <c r="T36">
        <f t="shared" si="15"/>
        <v>0</v>
      </c>
    </row>
    <row r="37" spans="1:20">
      <c r="A37" s="1"/>
      <c r="B37">
        <v>7</v>
      </c>
      <c r="C37" t="s">
        <v>16</v>
      </c>
      <c r="D37">
        <v>1</v>
      </c>
      <c r="E37">
        <f>D37/7</f>
        <v>0.14285714285714285</v>
      </c>
      <c r="F37">
        <v>0</v>
      </c>
      <c r="G37">
        <f t="shared" si="9"/>
        <v>0</v>
      </c>
      <c r="H37">
        <v>1</v>
      </c>
      <c r="I37">
        <f t="shared" si="10"/>
        <v>1</v>
      </c>
      <c r="J37">
        <v>0</v>
      </c>
      <c r="K37">
        <f t="shared" si="11"/>
        <v>0</v>
      </c>
      <c r="L37">
        <v>0</v>
      </c>
      <c r="M37">
        <f t="shared" si="12"/>
        <v>0</v>
      </c>
      <c r="N37">
        <f t="shared" si="13"/>
        <v>4</v>
      </c>
      <c r="O37">
        <f>24/D37</f>
        <v>24</v>
      </c>
      <c r="P37">
        <f t="shared" si="8"/>
        <v>0.72727272727272729</v>
      </c>
      <c r="Q37">
        <v>0</v>
      </c>
      <c r="R37">
        <f t="shared" si="14"/>
        <v>0</v>
      </c>
      <c r="T37">
        <f t="shared" si="15"/>
        <v>0</v>
      </c>
    </row>
    <row r="38" spans="1:20">
      <c r="A38" s="1"/>
      <c r="B38">
        <v>8</v>
      </c>
      <c r="C38" t="s">
        <v>17</v>
      </c>
      <c r="E38">
        <f>D38/3</f>
        <v>0</v>
      </c>
      <c r="G38" t="e">
        <f t="shared" si="9"/>
        <v>#DIV/0!</v>
      </c>
      <c r="I38" t="e">
        <f t="shared" si="10"/>
        <v>#DIV/0!</v>
      </c>
      <c r="K38" t="e">
        <f t="shared" si="11"/>
        <v>#DIV/0!</v>
      </c>
      <c r="M38" t="e">
        <f t="shared" si="12"/>
        <v>#DIV/0!</v>
      </c>
      <c r="N38" t="e">
        <f t="shared" si="13"/>
        <v>#DIV/0!</v>
      </c>
      <c r="P38">
        <f t="shared" si="8"/>
        <v>0</v>
      </c>
      <c r="Q38">
        <v>0</v>
      </c>
      <c r="R38" t="e">
        <f t="shared" si="14"/>
        <v>#DIV/0!</v>
      </c>
      <c r="T38" t="e">
        <f t="shared" si="15"/>
        <v>#DIV/0!</v>
      </c>
    </row>
    <row r="39" spans="1:20">
      <c r="A39" s="1"/>
      <c r="C39" t="s">
        <v>6</v>
      </c>
      <c r="D39">
        <f>SUM(D31:D38)</f>
        <v>10</v>
      </c>
      <c r="E39">
        <f>D39/260</f>
        <v>3.8461538461538464E-2</v>
      </c>
      <c r="F39">
        <f>SUM(F31:F38)</f>
        <v>4</v>
      </c>
      <c r="G39">
        <f t="shared" si="9"/>
        <v>0.4</v>
      </c>
      <c r="H39">
        <f>SUM(H31:H38)</f>
        <v>6</v>
      </c>
      <c r="I39">
        <f t="shared" si="10"/>
        <v>0.6</v>
      </c>
      <c r="J39">
        <f>SUM(J31:J38)</f>
        <v>0</v>
      </c>
      <c r="K39">
        <f t="shared" si="11"/>
        <v>0</v>
      </c>
      <c r="L39">
        <f>SUM(L31:L38)</f>
        <v>0</v>
      </c>
      <c r="M39">
        <f>L39/D39</f>
        <v>0</v>
      </c>
      <c r="N39">
        <f t="shared" si="13"/>
        <v>4.4000000000000004</v>
      </c>
      <c r="O39">
        <f>256/D39</f>
        <v>25.6</v>
      </c>
      <c r="P39">
        <f>256/(33*D39)</f>
        <v>0.77575757575757576</v>
      </c>
      <c r="Q39">
        <f>SUM(Q31:Q38)</f>
        <v>0</v>
      </c>
      <c r="R39">
        <f t="shared" si="14"/>
        <v>0</v>
      </c>
      <c r="S39">
        <f>SUM(S31:S38)</f>
        <v>0</v>
      </c>
      <c r="T39">
        <f t="shared" si="15"/>
        <v>0</v>
      </c>
    </row>
    <row r="40" spans="1:20">
      <c r="A40" s="1"/>
      <c r="C40" t="s">
        <v>21</v>
      </c>
    </row>
    <row r="41" spans="1:20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N41" s="1" t="s">
        <v>24</v>
      </c>
      <c r="O41" s="1" t="s">
        <v>14</v>
      </c>
      <c r="P41" s="1" t="s">
        <v>47</v>
      </c>
      <c r="Q41" s="1" t="s">
        <v>48</v>
      </c>
      <c r="R41" s="1"/>
      <c r="S41" s="1" t="s">
        <v>42</v>
      </c>
      <c r="T41" s="1"/>
    </row>
    <row r="42" spans="1:20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N42" s="1"/>
      <c r="O42" s="1"/>
      <c r="P42" s="1"/>
      <c r="Q42" t="s">
        <v>8</v>
      </c>
      <c r="R42" t="s">
        <v>10</v>
      </c>
      <c r="S42" t="s">
        <v>8</v>
      </c>
      <c r="T42" t="s">
        <v>10</v>
      </c>
    </row>
    <row r="43" spans="1:20">
      <c r="A43" s="1"/>
      <c r="B43">
        <v>1</v>
      </c>
      <c r="C43" t="s">
        <v>0</v>
      </c>
      <c r="D43">
        <v>7</v>
      </c>
      <c r="E43">
        <f>D43/53</f>
        <v>0.13207547169811321</v>
      </c>
      <c r="F43">
        <v>3</v>
      </c>
      <c r="G43">
        <f>F43/D43</f>
        <v>0.42857142857142855</v>
      </c>
      <c r="H43">
        <v>4</v>
      </c>
      <c r="I43">
        <f>H43/D43</f>
        <v>0.5714285714285714</v>
      </c>
      <c r="J43">
        <v>0</v>
      </c>
      <c r="K43">
        <f>J43/D43</f>
        <v>0</v>
      </c>
      <c r="L43">
        <v>0</v>
      </c>
      <c r="M43">
        <f>L43/D43</f>
        <v>0</v>
      </c>
      <c r="N43">
        <f>(F43*5+H43*4+J43*3+L43*2)/D43</f>
        <v>4.4285714285714288</v>
      </c>
      <c r="O43">
        <f>(21+19+17+17+21+18+15)/D43</f>
        <v>18.285714285714285</v>
      </c>
      <c r="P43">
        <f>O43/23</f>
        <v>0.79503105590062106</v>
      </c>
      <c r="Q43">
        <v>2</v>
      </c>
      <c r="R43">
        <f>Q43/D43</f>
        <v>0.2857142857142857</v>
      </c>
      <c r="S43">
        <v>0</v>
      </c>
      <c r="T43">
        <f>S43/D43</f>
        <v>0</v>
      </c>
    </row>
    <row r="44" spans="1:20">
      <c r="A44" s="1"/>
      <c r="B44">
        <v>2</v>
      </c>
      <c r="C44" t="s">
        <v>1</v>
      </c>
      <c r="D44">
        <v>8</v>
      </c>
      <c r="E44">
        <f>D44/45</f>
        <v>0.17777777777777778</v>
      </c>
      <c r="F44">
        <v>2</v>
      </c>
      <c r="G44">
        <f t="shared" ref="G44:G51" si="16">F44/D44</f>
        <v>0.25</v>
      </c>
      <c r="H44">
        <v>4</v>
      </c>
      <c r="I44">
        <f t="shared" ref="I44:I51" si="17">H44/D44</f>
        <v>0.5</v>
      </c>
      <c r="J44">
        <v>2</v>
      </c>
      <c r="K44">
        <f t="shared" ref="K44:K51" si="18">J44/D44</f>
        <v>0.25</v>
      </c>
      <c r="L44">
        <v>0</v>
      </c>
      <c r="M44">
        <f t="shared" ref="M44:M50" si="19">L44/D44</f>
        <v>0</v>
      </c>
      <c r="N44">
        <f>(F44*5+H44*4+J44*3+L44)/D44</f>
        <v>4</v>
      </c>
      <c r="O44">
        <f>(17+14+9+14+23+19+14+12)/D44</f>
        <v>15.25</v>
      </c>
      <c r="P44">
        <f>O44/23</f>
        <v>0.66304347826086951</v>
      </c>
      <c r="Q44">
        <v>1</v>
      </c>
      <c r="R44">
        <f t="shared" ref="R44:R51" si="20">Q44/D44</f>
        <v>0.125</v>
      </c>
      <c r="S44">
        <v>0</v>
      </c>
      <c r="T44">
        <f t="shared" ref="T44:T51" si="21">S44/D44</f>
        <v>0</v>
      </c>
    </row>
    <row r="45" spans="1:20">
      <c r="A45" s="1"/>
      <c r="B45">
        <v>3</v>
      </c>
      <c r="C45" t="s">
        <v>2</v>
      </c>
      <c r="D45">
        <v>5</v>
      </c>
      <c r="E45">
        <f>D45/103</f>
        <v>4.8543689320388349E-2</v>
      </c>
      <c r="F45">
        <v>2</v>
      </c>
      <c r="G45">
        <f t="shared" si="16"/>
        <v>0.4</v>
      </c>
      <c r="H45">
        <v>3</v>
      </c>
      <c r="I45">
        <f t="shared" si="17"/>
        <v>0.6</v>
      </c>
      <c r="J45">
        <v>0</v>
      </c>
      <c r="K45">
        <f t="shared" si="18"/>
        <v>0</v>
      </c>
      <c r="L45">
        <v>0</v>
      </c>
      <c r="M45">
        <f t="shared" si="19"/>
        <v>0</v>
      </c>
      <c r="N45">
        <f>(F45*5+H45*4+J45*3+L45*2)/D45</f>
        <v>4.4000000000000004</v>
      </c>
      <c r="O45">
        <f>(15+16+20+14+19)/D45</f>
        <v>16.8</v>
      </c>
      <c r="P45">
        <f>O45/23</f>
        <v>0.73043478260869565</v>
      </c>
      <c r="Q45">
        <v>0</v>
      </c>
      <c r="R45">
        <f t="shared" si="20"/>
        <v>0</v>
      </c>
      <c r="S45">
        <v>0</v>
      </c>
      <c r="T45">
        <f t="shared" si="21"/>
        <v>0</v>
      </c>
    </row>
    <row r="46" spans="1:20">
      <c r="A46" s="1"/>
      <c r="B46">
        <v>4</v>
      </c>
      <c r="C46" t="s">
        <v>3</v>
      </c>
      <c r="D46">
        <v>5</v>
      </c>
      <c r="E46">
        <f>D46/42</f>
        <v>0.11904761904761904</v>
      </c>
      <c r="F46">
        <v>1</v>
      </c>
      <c r="G46">
        <f t="shared" si="16"/>
        <v>0.2</v>
      </c>
      <c r="H46">
        <v>3</v>
      </c>
      <c r="I46">
        <f t="shared" si="17"/>
        <v>0.6</v>
      </c>
      <c r="J46">
        <v>1</v>
      </c>
      <c r="K46">
        <f t="shared" si="18"/>
        <v>0.2</v>
      </c>
      <c r="L46">
        <v>0</v>
      </c>
      <c r="M46">
        <f t="shared" si="19"/>
        <v>0</v>
      </c>
      <c r="N46">
        <f>(F46*5+H46*4+J46*3+L46*2)/D46</f>
        <v>4</v>
      </c>
      <c r="O46">
        <f>(16+21+15+9+18)/D46</f>
        <v>15.8</v>
      </c>
      <c r="P46">
        <f>O46/23</f>
        <v>0.68695652173913047</v>
      </c>
      <c r="Q46">
        <v>1</v>
      </c>
      <c r="R46">
        <f t="shared" si="20"/>
        <v>0.2</v>
      </c>
      <c r="S46">
        <v>0</v>
      </c>
      <c r="T46">
        <f t="shared" si="21"/>
        <v>0</v>
      </c>
    </row>
    <row r="47" spans="1:20">
      <c r="A47" s="1"/>
      <c r="B47">
        <v>5</v>
      </c>
      <c r="C47" t="s">
        <v>4</v>
      </c>
      <c r="G47" t="e">
        <f t="shared" si="16"/>
        <v>#DIV/0!</v>
      </c>
      <c r="I47" t="e">
        <f t="shared" si="17"/>
        <v>#DIV/0!</v>
      </c>
      <c r="K47" t="e">
        <f t="shared" si="18"/>
        <v>#DIV/0!</v>
      </c>
      <c r="M47" t="e">
        <f t="shared" si="19"/>
        <v>#DIV/0!</v>
      </c>
      <c r="R47" t="e">
        <f t="shared" si="20"/>
        <v>#DIV/0!</v>
      </c>
      <c r="T47" t="e">
        <f t="shared" si="21"/>
        <v>#DIV/0!</v>
      </c>
    </row>
    <row r="48" spans="1:20">
      <c r="A48" s="1"/>
      <c r="B48">
        <v>6</v>
      </c>
      <c r="C48" t="s">
        <v>5</v>
      </c>
      <c r="D48">
        <v>0</v>
      </c>
      <c r="E48">
        <f>D48/8</f>
        <v>0</v>
      </c>
      <c r="G48" t="e">
        <f t="shared" si="16"/>
        <v>#DIV/0!</v>
      </c>
      <c r="I48" t="e">
        <f t="shared" si="17"/>
        <v>#DIV/0!</v>
      </c>
      <c r="K48" t="e">
        <f t="shared" si="18"/>
        <v>#DIV/0!</v>
      </c>
      <c r="M48" t="e">
        <f t="shared" si="19"/>
        <v>#DIV/0!</v>
      </c>
      <c r="R48" t="e">
        <f t="shared" si="20"/>
        <v>#DIV/0!</v>
      </c>
      <c r="T48" t="e">
        <f t="shared" si="21"/>
        <v>#DIV/0!</v>
      </c>
    </row>
    <row r="49" spans="1:20">
      <c r="A49" s="1"/>
      <c r="B49">
        <v>7</v>
      </c>
      <c r="C49" t="s">
        <v>16</v>
      </c>
      <c r="E49">
        <f>D49/2</f>
        <v>0</v>
      </c>
      <c r="F49">
        <v>0</v>
      </c>
      <c r="G49" t="e">
        <f t="shared" si="16"/>
        <v>#DIV/0!</v>
      </c>
      <c r="I49" t="e">
        <f t="shared" si="17"/>
        <v>#DIV/0!</v>
      </c>
      <c r="J49">
        <v>0</v>
      </c>
      <c r="K49" t="e">
        <f t="shared" si="18"/>
        <v>#DIV/0!</v>
      </c>
      <c r="L49">
        <v>0</v>
      </c>
      <c r="M49" t="e">
        <f t="shared" si="19"/>
        <v>#DIV/0!</v>
      </c>
      <c r="R49" t="e">
        <f t="shared" si="20"/>
        <v>#DIV/0!</v>
      </c>
      <c r="T49" t="e">
        <f t="shared" si="21"/>
        <v>#DIV/0!</v>
      </c>
    </row>
    <row r="50" spans="1:20">
      <c r="A50" s="1"/>
      <c r="B50">
        <v>8</v>
      </c>
      <c r="C50" t="s">
        <v>17</v>
      </c>
      <c r="E50">
        <f>D50/4</f>
        <v>0</v>
      </c>
      <c r="G50" t="e">
        <f t="shared" si="16"/>
        <v>#DIV/0!</v>
      </c>
      <c r="I50" t="e">
        <f t="shared" si="17"/>
        <v>#DIV/0!</v>
      </c>
      <c r="K50" t="e">
        <f t="shared" si="18"/>
        <v>#DIV/0!</v>
      </c>
      <c r="M50" t="e">
        <f t="shared" si="19"/>
        <v>#DIV/0!</v>
      </c>
      <c r="Q50">
        <v>0</v>
      </c>
      <c r="R50" t="e">
        <f t="shared" si="20"/>
        <v>#DIV/0!</v>
      </c>
      <c r="T50" t="e">
        <f t="shared" si="21"/>
        <v>#DIV/0!</v>
      </c>
    </row>
    <row r="51" spans="1:20">
      <c r="A51" s="1"/>
      <c r="C51" t="s">
        <v>6</v>
      </c>
      <c r="D51">
        <f>SUM(D43:D50)</f>
        <v>25</v>
      </c>
      <c r="E51">
        <f>D51/262</f>
        <v>9.5419847328244281E-2</v>
      </c>
      <c r="F51">
        <f>SUM(F43:F50)</f>
        <v>8</v>
      </c>
      <c r="G51">
        <f t="shared" si="16"/>
        <v>0.32</v>
      </c>
      <c r="H51">
        <f>SUM(H43:H50)</f>
        <v>14</v>
      </c>
      <c r="I51">
        <f t="shared" si="17"/>
        <v>0.56000000000000005</v>
      </c>
      <c r="J51">
        <f>SUM(J43:J50)</f>
        <v>3</v>
      </c>
      <c r="K51">
        <f t="shared" si="18"/>
        <v>0.12</v>
      </c>
      <c r="L51">
        <f>SUM(L43:L50)</f>
        <v>0</v>
      </c>
      <c r="M51">
        <f>L51/D51</f>
        <v>0</v>
      </c>
      <c r="N51">
        <f>(F51*5+H51*4+J51*3+L51*2)/D51</f>
        <v>4.2</v>
      </c>
      <c r="O51">
        <f>(368+42)/22</f>
        <v>18.636363636363637</v>
      </c>
      <c r="P51">
        <f>368/(23*D51)</f>
        <v>0.64</v>
      </c>
      <c r="Q51">
        <f>SUM(Q43:Q50)</f>
        <v>4</v>
      </c>
      <c r="R51">
        <f t="shared" si="20"/>
        <v>0.16</v>
      </c>
      <c r="S51">
        <f>SUM(S43:S50)</f>
        <v>0</v>
      </c>
      <c r="T51">
        <f t="shared" si="21"/>
        <v>0</v>
      </c>
    </row>
    <row r="52" spans="1:20">
      <c r="A52" s="1"/>
      <c r="C52" t="s">
        <v>21</v>
      </c>
    </row>
  </sheetData>
  <mergeCells count="47">
    <mergeCell ref="Q2:R2"/>
    <mergeCell ref="S2:T2"/>
    <mergeCell ref="B1:P1"/>
    <mergeCell ref="A2:A13"/>
    <mergeCell ref="D2:E2"/>
    <mergeCell ref="F2:G2"/>
    <mergeCell ref="H2:I2"/>
    <mergeCell ref="J2:K2"/>
    <mergeCell ref="L2:M2"/>
    <mergeCell ref="N2:N3"/>
    <mergeCell ref="O2:O3"/>
    <mergeCell ref="P2:P3"/>
    <mergeCell ref="Q15:R15"/>
    <mergeCell ref="S15:T15"/>
    <mergeCell ref="A15:A26"/>
    <mergeCell ref="D15:E15"/>
    <mergeCell ref="F15:G15"/>
    <mergeCell ref="H15:I15"/>
    <mergeCell ref="J15:K15"/>
    <mergeCell ref="L15:M15"/>
    <mergeCell ref="B14:P14"/>
    <mergeCell ref="N15:N16"/>
    <mergeCell ref="O15:O16"/>
    <mergeCell ref="P15:P16"/>
    <mergeCell ref="O29:O30"/>
    <mergeCell ref="P29:P30"/>
    <mergeCell ref="B28:P28"/>
    <mergeCell ref="A29:A40"/>
    <mergeCell ref="A41:A52"/>
    <mergeCell ref="D29:E29"/>
    <mergeCell ref="F29:G29"/>
    <mergeCell ref="H29:I29"/>
    <mergeCell ref="D41:E41"/>
    <mergeCell ref="F41:G41"/>
    <mergeCell ref="H41:I41"/>
    <mergeCell ref="S29:T29"/>
    <mergeCell ref="S41:T41"/>
    <mergeCell ref="J29:K29"/>
    <mergeCell ref="P41:P42"/>
    <mergeCell ref="N29:N30"/>
    <mergeCell ref="Q41:R41"/>
    <mergeCell ref="Q29:R29"/>
    <mergeCell ref="L41:M41"/>
    <mergeCell ref="L29:M29"/>
    <mergeCell ref="O41:O42"/>
    <mergeCell ref="J41:K41"/>
    <mergeCell ref="N41:N42"/>
  </mergeCells>
  <pageMargins left="0.7" right="0.7" top="0.75" bottom="0.75" header="0.3" footer="0.3"/>
  <pageSetup paperSize="9" scale="65" orientation="landscape" r:id="rId1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2"/>
  <sheetViews>
    <sheetView view="pageBreakPreview" zoomScale="60" workbookViewId="0">
      <selection activeCell="C4" sqref="C4:C11"/>
    </sheetView>
  </sheetViews>
  <sheetFormatPr defaultRowHeight="15"/>
  <cols>
    <col min="2" max="2" width="6.42578125" customWidth="1"/>
    <col min="3" max="3" width="15.28515625" customWidth="1"/>
    <col min="4" max="4" width="6" customWidth="1"/>
    <col min="5" max="5" width="7.85546875" customWidth="1"/>
    <col min="6" max="6" width="5.28515625" customWidth="1"/>
    <col min="7" max="7" width="9.28515625" bestFit="1" customWidth="1"/>
    <col min="8" max="8" width="4.5703125" customWidth="1"/>
    <col min="9" max="9" width="8.140625" customWidth="1"/>
    <col min="10" max="10" width="4.7109375" customWidth="1"/>
    <col min="11" max="11" width="8.140625" customWidth="1"/>
    <col min="12" max="12" width="5.7109375" customWidth="1"/>
    <col min="13" max="13" width="9.28515625" bestFit="1" customWidth="1"/>
    <col min="14" max="14" width="5.5703125" customWidth="1"/>
    <col min="15" max="15" width="6.85546875" customWidth="1"/>
    <col min="16" max="17" width="7" customWidth="1"/>
    <col min="18" max="18" width="7.7109375" customWidth="1"/>
    <col min="19" max="19" width="6.28515625" customWidth="1"/>
    <col min="20" max="20" width="9.28515625" bestFit="1" customWidth="1"/>
    <col min="21" max="21" width="14" bestFit="1" customWidth="1"/>
  </cols>
  <sheetData>
    <row r="1" spans="1:22">
      <c r="B1" s="1" t="s">
        <v>209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21.5" customHeight="1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212</v>
      </c>
      <c r="M2" s="1"/>
      <c r="N2" s="1" t="s">
        <v>177</v>
      </c>
      <c r="O2" s="1"/>
      <c r="P2" s="1" t="s">
        <v>24</v>
      </c>
      <c r="Q2" s="1" t="s">
        <v>14</v>
      </c>
      <c r="R2" s="1" t="s">
        <v>183</v>
      </c>
      <c r="S2" s="1" t="s">
        <v>223</v>
      </c>
      <c r="T2" s="1"/>
      <c r="U2" s="1" t="s">
        <v>182</v>
      </c>
      <c r="V2" s="1"/>
    </row>
    <row r="3" spans="1:22" ht="66.75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t="s">
        <v>8</v>
      </c>
      <c r="O3" t="s">
        <v>10</v>
      </c>
      <c r="P3" s="1"/>
      <c r="Q3" s="1"/>
      <c r="R3" s="1"/>
      <c r="S3" t="s">
        <v>8</v>
      </c>
      <c r="T3" t="s">
        <v>10</v>
      </c>
      <c r="U3" t="s">
        <v>8</v>
      </c>
      <c r="V3" t="s">
        <v>10</v>
      </c>
    </row>
    <row r="4" spans="1:22" ht="16.5" customHeight="1">
      <c r="A4" s="1"/>
      <c r="B4">
        <v>1</v>
      </c>
      <c r="C4" t="s">
        <v>0</v>
      </c>
      <c r="D4">
        <v>20</v>
      </c>
      <c r="E4">
        <f>D4/56</f>
        <v>0.35714285714285715</v>
      </c>
      <c r="F4">
        <v>4</v>
      </c>
      <c r="G4">
        <f>F4/D4</f>
        <v>0.2</v>
      </c>
      <c r="H4">
        <v>8</v>
      </c>
      <c r="I4">
        <f>H4/D4</f>
        <v>0.4</v>
      </c>
      <c r="J4">
        <v>8</v>
      </c>
      <c r="K4">
        <f>J4/D4</f>
        <v>0.4</v>
      </c>
      <c r="L4">
        <v>0</v>
      </c>
      <c r="M4">
        <f>L4/D4</f>
        <v>0</v>
      </c>
      <c r="N4">
        <v>0</v>
      </c>
      <c r="O4">
        <f>N4/D4</f>
        <v>0</v>
      </c>
      <c r="P4">
        <f>(F4*5+H4*4+J4*3+N4*2)/D4</f>
        <v>3.8</v>
      </c>
      <c r="Q4">
        <v>25.05</v>
      </c>
      <c r="R4">
        <v>0.67</v>
      </c>
      <c r="S4">
        <v>4</v>
      </c>
      <c r="T4">
        <f>S4/D4</f>
        <v>0.2</v>
      </c>
      <c r="U4">
        <v>0</v>
      </c>
      <c r="V4">
        <f>U4/D4</f>
        <v>0</v>
      </c>
    </row>
    <row r="5" spans="1:22" ht="20.25" customHeight="1">
      <c r="A5" s="1"/>
      <c r="B5">
        <v>2</v>
      </c>
      <c r="C5" t="s">
        <v>1</v>
      </c>
      <c r="D5">
        <v>16</v>
      </c>
      <c r="E5">
        <f>D5/46</f>
        <v>0.34782608695652173</v>
      </c>
      <c r="F5">
        <v>0</v>
      </c>
      <c r="G5">
        <f t="shared" ref="G5:G12" si="0">F5/D5</f>
        <v>0</v>
      </c>
      <c r="H5">
        <v>8</v>
      </c>
      <c r="I5">
        <f t="shared" ref="I5:I12" si="1">H5/D5</f>
        <v>0.5</v>
      </c>
      <c r="J5">
        <v>8</v>
      </c>
      <c r="K5">
        <f t="shared" ref="K5:K12" si="2">J5/D5</f>
        <v>0.5</v>
      </c>
      <c r="L5">
        <v>0</v>
      </c>
      <c r="M5">
        <f t="shared" ref="M5:M11" si="3">L5/D5</f>
        <v>0</v>
      </c>
      <c r="N5">
        <v>0</v>
      </c>
      <c r="O5">
        <f t="shared" ref="O5:O12" si="4">N5/D5</f>
        <v>0</v>
      </c>
      <c r="P5">
        <f>(F5*5+H5*4+J5*3+N5*2)/D5</f>
        <v>3.5</v>
      </c>
      <c r="Q5">
        <f>373/D5</f>
        <v>23.3125</v>
      </c>
      <c r="R5">
        <f>Q5/37</f>
        <v>0.63006756756756754</v>
      </c>
      <c r="S5">
        <v>0</v>
      </c>
      <c r="T5">
        <f t="shared" ref="T5:T12" si="5">S5/D5</f>
        <v>0</v>
      </c>
      <c r="U5">
        <v>0</v>
      </c>
      <c r="V5">
        <f t="shared" ref="V5:V12" si="6">U5/D5</f>
        <v>0</v>
      </c>
    </row>
    <row r="6" spans="1:22">
      <c r="A6" s="1"/>
      <c r="B6">
        <v>3</v>
      </c>
      <c r="C6" t="s">
        <v>2</v>
      </c>
      <c r="D6">
        <v>32</v>
      </c>
      <c r="E6">
        <f>D6/86</f>
        <v>0.37209302325581395</v>
      </c>
      <c r="F6">
        <v>2</v>
      </c>
      <c r="G6">
        <f t="shared" si="0"/>
        <v>6.25E-2</v>
      </c>
      <c r="H6">
        <v>18</v>
      </c>
      <c r="I6">
        <f t="shared" si="1"/>
        <v>0.5625</v>
      </c>
      <c r="J6">
        <v>12</v>
      </c>
      <c r="K6">
        <f t="shared" si="2"/>
        <v>0.375</v>
      </c>
      <c r="L6">
        <v>0</v>
      </c>
      <c r="M6">
        <f t="shared" si="3"/>
        <v>0</v>
      </c>
      <c r="N6">
        <v>0</v>
      </c>
      <c r="O6">
        <f t="shared" si="4"/>
        <v>0</v>
      </c>
      <c r="P6">
        <v>3.68</v>
      </c>
      <c r="Q6">
        <f>784/D6</f>
        <v>24.5</v>
      </c>
      <c r="R6">
        <v>0.66</v>
      </c>
      <c r="S6">
        <v>2</v>
      </c>
      <c r="T6">
        <f t="shared" si="5"/>
        <v>6.25E-2</v>
      </c>
      <c r="U6">
        <v>0</v>
      </c>
      <c r="V6">
        <f t="shared" si="6"/>
        <v>0</v>
      </c>
    </row>
    <row r="7" spans="1:22">
      <c r="A7" s="1"/>
      <c r="B7">
        <v>4</v>
      </c>
      <c r="C7" t="s">
        <v>3</v>
      </c>
      <c r="D7">
        <v>30</v>
      </c>
      <c r="E7">
        <f>D7/69</f>
        <v>0.43478260869565216</v>
      </c>
      <c r="F7">
        <v>0</v>
      </c>
      <c r="G7">
        <f t="shared" si="0"/>
        <v>0</v>
      </c>
      <c r="H7">
        <v>12</v>
      </c>
      <c r="I7">
        <f t="shared" si="1"/>
        <v>0.4</v>
      </c>
      <c r="J7">
        <v>17</v>
      </c>
      <c r="K7">
        <f t="shared" si="2"/>
        <v>0.56666666666666665</v>
      </c>
      <c r="L7">
        <v>1</v>
      </c>
      <c r="M7">
        <f t="shared" si="3"/>
        <v>3.3333333333333333E-2</v>
      </c>
      <c r="N7">
        <v>0</v>
      </c>
      <c r="O7">
        <f t="shared" si="4"/>
        <v>0</v>
      </c>
      <c r="P7">
        <v>3.36</v>
      </c>
      <c r="Q7">
        <f>654/D7</f>
        <v>21.8</v>
      </c>
      <c r="R7">
        <v>0.57999999999999996</v>
      </c>
      <c r="S7">
        <v>0</v>
      </c>
      <c r="T7">
        <f t="shared" si="5"/>
        <v>0</v>
      </c>
      <c r="U7">
        <v>0</v>
      </c>
      <c r="V7">
        <f t="shared" si="6"/>
        <v>0</v>
      </c>
    </row>
    <row r="8" spans="1:22">
      <c r="A8" s="1"/>
      <c r="B8">
        <v>5</v>
      </c>
      <c r="C8" t="s">
        <v>4</v>
      </c>
      <c r="D8">
        <v>2</v>
      </c>
      <c r="E8">
        <f>D8/2</f>
        <v>1</v>
      </c>
      <c r="F8">
        <v>0</v>
      </c>
      <c r="G8">
        <f t="shared" si="0"/>
        <v>0</v>
      </c>
      <c r="H8">
        <v>2</v>
      </c>
      <c r="I8">
        <f t="shared" si="1"/>
        <v>1</v>
      </c>
      <c r="J8">
        <v>0</v>
      </c>
      <c r="K8">
        <f t="shared" si="2"/>
        <v>0</v>
      </c>
      <c r="L8">
        <v>0</v>
      </c>
      <c r="M8">
        <f t="shared" si="3"/>
        <v>0</v>
      </c>
      <c r="N8">
        <v>0</v>
      </c>
      <c r="O8">
        <f t="shared" si="4"/>
        <v>0</v>
      </c>
      <c r="P8">
        <f>(F8*5+H8*4+J8*3+N8*2)/D8</f>
        <v>4</v>
      </c>
      <c r="Q8">
        <f>49/D8</f>
        <v>24.5</v>
      </c>
      <c r="R8">
        <f>Q8/37</f>
        <v>0.66216216216216217</v>
      </c>
      <c r="S8">
        <v>0</v>
      </c>
      <c r="T8">
        <f t="shared" si="5"/>
        <v>0</v>
      </c>
      <c r="U8">
        <v>0</v>
      </c>
      <c r="V8">
        <f t="shared" si="6"/>
        <v>0</v>
      </c>
    </row>
    <row r="9" spans="1:22">
      <c r="A9" s="1"/>
      <c r="B9">
        <v>6</v>
      </c>
      <c r="C9" t="s">
        <v>5</v>
      </c>
      <c r="D9">
        <v>0</v>
      </c>
      <c r="E9">
        <f>D9/12</f>
        <v>0</v>
      </c>
      <c r="F9">
        <v>0</v>
      </c>
      <c r="G9" t="s">
        <v>179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27.75" customHeight="1">
      <c r="A10" s="1"/>
      <c r="B10">
        <v>7</v>
      </c>
      <c r="C10" t="s">
        <v>16</v>
      </c>
      <c r="D10">
        <v>0</v>
      </c>
      <c r="E10">
        <f>D10/6</f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>
      <c r="A11" s="1"/>
      <c r="B11">
        <v>8</v>
      </c>
      <c r="C11" t="s">
        <v>17</v>
      </c>
      <c r="D11">
        <v>3</v>
      </c>
      <c r="E11">
        <f>D11/3</f>
        <v>1</v>
      </c>
      <c r="F11">
        <v>0</v>
      </c>
      <c r="G11">
        <f t="shared" si="0"/>
        <v>0</v>
      </c>
      <c r="H11">
        <v>3</v>
      </c>
      <c r="I11">
        <f t="shared" si="1"/>
        <v>1</v>
      </c>
      <c r="J11">
        <v>0</v>
      </c>
      <c r="K11">
        <f t="shared" si="2"/>
        <v>0</v>
      </c>
      <c r="L11">
        <v>0</v>
      </c>
      <c r="M11">
        <f t="shared" si="3"/>
        <v>0</v>
      </c>
      <c r="N11">
        <v>0</v>
      </c>
      <c r="O11">
        <f t="shared" si="4"/>
        <v>0</v>
      </c>
      <c r="P11">
        <f>(F11*5+H11*4+J11*3+N11*2)/D11</f>
        <v>4</v>
      </c>
      <c r="Q11">
        <f>78/D11</f>
        <v>26</v>
      </c>
      <c r="R11">
        <v>0.7</v>
      </c>
      <c r="S11">
        <v>0</v>
      </c>
      <c r="T11">
        <f t="shared" si="5"/>
        <v>0</v>
      </c>
      <c r="V11">
        <f t="shared" si="6"/>
        <v>0</v>
      </c>
    </row>
    <row r="12" spans="1:22">
      <c r="A12" s="1"/>
      <c r="C12" t="s">
        <v>6</v>
      </c>
      <c r="D12">
        <f>SUM(D4:D11)</f>
        <v>103</v>
      </c>
      <c r="E12">
        <f>D12/283</f>
        <v>0.36395759717314485</v>
      </c>
      <c r="F12">
        <f>SUM(F4:F11)</f>
        <v>6</v>
      </c>
      <c r="G12">
        <f t="shared" si="0"/>
        <v>5.8252427184466021E-2</v>
      </c>
      <c r="H12">
        <f>SUM(H4:H11)</f>
        <v>51</v>
      </c>
      <c r="I12">
        <f t="shared" si="1"/>
        <v>0.49514563106796117</v>
      </c>
      <c r="J12">
        <f>SUM(J4:J11)</f>
        <v>45</v>
      </c>
      <c r="K12">
        <f t="shared" si="2"/>
        <v>0.43689320388349512</v>
      </c>
      <c r="L12">
        <f>SUM(SUM(L4:L11))</f>
        <v>1</v>
      </c>
      <c r="M12">
        <f>L12/D12</f>
        <v>9.7087378640776691E-3</v>
      </c>
      <c r="N12">
        <v>0</v>
      </c>
      <c r="O12">
        <f t="shared" si="4"/>
        <v>0</v>
      </c>
      <c r="P12">
        <f>(F12*5+H12*4+J12*3+N12*2)/D12</f>
        <v>3.5825242718446604</v>
      </c>
      <c r="Q12">
        <f>2439/D12</f>
        <v>23.679611650485437</v>
      </c>
      <c r="R12">
        <v>0.63</v>
      </c>
      <c r="S12">
        <f>SUM(S4:S11)</f>
        <v>6</v>
      </c>
      <c r="T12">
        <f t="shared" si="5"/>
        <v>5.8252427184466021E-2</v>
      </c>
      <c r="U12">
        <f>SUM(U4:U11)</f>
        <v>0</v>
      </c>
      <c r="V12">
        <f t="shared" si="6"/>
        <v>0</v>
      </c>
    </row>
    <row r="13" spans="1:22">
      <c r="A13" s="1"/>
      <c r="C13" t="s">
        <v>21</v>
      </c>
    </row>
    <row r="14" spans="1:22">
      <c r="B14" s="1" t="s">
        <v>163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2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177</v>
      </c>
      <c r="O15" s="1"/>
      <c r="P15" s="1" t="s">
        <v>24</v>
      </c>
      <c r="Q15" s="1" t="s">
        <v>14</v>
      </c>
      <c r="R15" s="1" t="s">
        <v>32</v>
      </c>
      <c r="S15" s="1" t="s">
        <v>33</v>
      </c>
      <c r="T15" s="1"/>
      <c r="U15" s="1" t="s">
        <v>152</v>
      </c>
      <c r="V15" s="1"/>
    </row>
    <row r="16" spans="1:22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t="s">
        <v>8</v>
      </c>
      <c r="O16" t="s">
        <v>10</v>
      </c>
      <c r="P16" s="1"/>
      <c r="Q16" s="1"/>
      <c r="R16" s="1"/>
      <c r="S16" t="s">
        <v>8</v>
      </c>
      <c r="T16" t="s">
        <v>10</v>
      </c>
      <c r="U16" t="s">
        <v>8</v>
      </c>
      <c r="V16" t="s">
        <v>10</v>
      </c>
    </row>
    <row r="17" spans="1:22">
      <c r="A17" s="1"/>
      <c r="B17">
        <v>1</v>
      </c>
      <c r="C17" t="s">
        <v>0</v>
      </c>
      <c r="D17">
        <v>33</v>
      </c>
      <c r="E17">
        <f>D17/43</f>
        <v>0.76744186046511631</v>
      </c>
      <c r="F17">
        <v>3</v>
      </c>
      <c r="G17">
        <f>F17/D17</f>
        <v>9.0909090909090912E-2</v>
      </c>
      <c r="H17">
        <v>21</v>
      </c>
      <c r="I17">
        <f>H17/D17</f>
        <v>0.63636363636363635</v>
      </c>
      <c r="J17">
        <v>9</v>
      </c>
      <c r="K17">
        <f>J17/D17</f>
        <v>0.27272727272727271</v>
      </c>
      <c r="L17">
        <v>0</v>
      </c>
      <c r="M17">
        <f>L17/D17</f>
        <v>0</v>
      </c>
      <c r="O17">
        <f>N17/D17</f>
        <v>0</v>
      </c>
      <c r="P17">
        <f>(F17*5+H17*4+J17*3+N17*2)/D17</f>
        <v>3.8181818181818183</v>
      </c>
      <c r="Q17">
        <f>893/D17</f>
        <v>27.060606060606062</v>
      </c>
      <c r="R17">
        <f>Q17/39</f>
        <v>0.69386169386169394</v>
      </c>
      <c r="S17">
        <v>0</v>
      </c>
      <c r="T17">
        <f>S17/D17</f>
        <v>0</v>
      </c>
      <c r="U17">
        <v>0</v>
      </c>
      <c r="V17">
        <f>U17/D17</f>
        <v>0</v>
      </c>
    </row>
    <row r="18" spans="1:22">
      <c r="A18" s="1"/>
      <c r="B18">
        <v>2</v>
      </c>
      <c r="C18" t="s">
        <v>1</v>
      </c>
      <c r="D18">
        <v>17</v>
      </c>
      <c r="E18">
        <f>D18/40</f>
        <v>0.42499999999999999</v>
      </c>
      <c r="F18">
        <v>0</v>
      </c>
      <c r="G18">
        <f t="shared" ref="G18:G25" si="7">F18/D18</f>
        <v>0</v>
      </c>
      <c r="H18">
        <v>5</v>
      </c>
      <c r="I18">
        <f t="shared" ref="I18:I25" si="8">H18/D18</f>
        <v>0.29411764705882354</v>
      </c>
      <c r="J18">
        <v>12</v>
      </c>
      <c r="K18">
        <f t="shared" ref="K18:K25" si="9">J18/D18</f>
        <v>0.70588235294117652</v>
      </c>
      <c r="L18">
        <v>0</v>
      </c>
      <c r="M18">
        <f t="shared" ref="M18:M24" si="10">L18/D18</f>
        <v>0</v>
      </c>
      <c r="O18">
        <f t="shared" ref="O18:O25" si="11">N18/D18</f>
        <v>0</v>
      </c>
      <c r="P18">
        <f t="shared" ref="P18:P24" si="12">(F18*5+H18*4+J18*3+N18*2)/D18</f>
        <v>3.2941176470588234</v>
      </c>
      <c r="Q18">
        <f>402/D18</f>
        <v>23.647058823529413</v>
      </c>
      <c r="R18">
        <f t="shared" ref="R18:R24" si="13">Q18/39</f>
        <v>0.60633484162895934</v>
      </c>
      <c r="S18">
        <v>0</v>
      </c>
      <c r="T18">
        <f t="shared" ref="T18:T25" si="14">S18/D18</f>
        <v>0</v>
      </c>
      <c r="U18">
        <v>0</v>
      </c>
      <c r="V18">
        <f t="shared" ref="V18:V25" si="15">U18/D18</f>
        <v>0</v>
      </c>
    </row>
    <row r="19" spans="1:22">
      <c r="A19" s="1"/>
      <c r="B19">
        <v>3</v>
      </c>
      <c r="C19" t="s">
        <v>2</v>
      </c>
      <c r="D19">
        <v>78</v>
      </c>
      <c r="E19">
        <f>D19/101</f>
        <v>0.7722772277227723</v>
      </c>
      <c r="F19">
        <v>4</v>
      </c>
      <c r="G19">
        <f t="shared" si="7"/>
        <v>5.128205128205128E-2</v>
      </c>
      <c r="H19">
        <v>31</v>
      </c>
      <c r="I19">
        <f t="shared" si="8"/>
        <v>0.39743589743589741</v>
      </c>
      <c r="J19">
        <v>43</v>
      </c>
      <c r="K19">
        <f t="shared" si="9"/>
        <v>0.55128205128205132</v>
      </c>
      <c r="L19">
        <v>0</v>
      </c>
      <c r="M19">
        <f t="shared" si="10"/>
        <v>0</v>
      </c>
      <c r="O19">
        <f t="shared" si="11"/>
        <v>0</v>
      </c>
      <c r="P19">
        <f t="shared" si="12"/>
        <v>3.5</v>
      </c>
      <c r="Q19">
        <f>1908/D19</f>
        <v>24.46153846153846</v>
      </c>
      <c r="R19">
        <f t="shared" si="13"/>
        <v>0.62721893491124259</v>
      </c>
      <c r="S19">
        <v>0</v>
      </c>
      <c r="T19">
        <f t="shared" si="14"/>
        <v>0</v>
      </c>
      <c r="U19">
        <v>0</v>
      </c>
      <c r="V19">
        <f t="shared" si="15"/>
        <v>0</v>
      </c>
    </row>
    <row r="20" spans="1:22">
      <c r="A20" s="1"/>
      <c r="B20">
        <v>4</v>
      </c>
      <c r="C20" t="s">
        <v>3</v>
      </c>
      <c r="D20">
        <v>33</v>
      </c>
      <c r="E20">
        <f>D20/46</f>
        <v>0.71739130434782605</v>
      </c>
      <c r="F20">
        <v>0</v>
      </c>
      <c r="G20">
        <f t="shared" si="7"/>
        <v>0</v>
      </c>
      <c r="H20">
        <v>12</v>
      </c>
      <c r="I20">
        <f t="shared" si="8"/>
        <v>0.36363636363636365</v>
      </c>
      <c r="J20">
        <v>21</v>
      </c>
      <c r="K20">
        <f t="shared" si="9"/>
        <v>0.63636363636363635</v>
      </c>
      <c r="L20">
        <v>1</v>
      </c>
      <c r="M20">
        <f t="shared" si="10"/>
        <v>3.0303030303030304E-2</v>
      </c>
      <c r="O20">
        <f t="shared" si="11"/>
        <v>0</v>
      </c>
      <c r="P20">
        <f>(F20*5+H20*4+J20*3+N20*2)/D20</f>
        <v>3.3636363636363638</v>
      </c>
      <c r="Q20">
        <f>(771-12+24)/D20</f>
        <v>23.727272727272727</v>
      </c>
      <c r="R20">
        <f t="shared" si="13"/>
        <v>0.60839160839160833</v>
      </c>
      <c r="S20">
        <v>0</v>
      </c>
      <c r="T20">
        <f t="shared" si="14"/>
        <v>0</v>
      </c>
      <c r="U20">
        <v>0</v>
      </c>
      <c r="V20">
        <f t="shared" si="15"/>
        <v>0</v>
      </c>
    </row>
    <row r="21" spans="1:22">
      <c r="A21" s="1"/>
      <c r="B21">
        <v>5</v>
      </c>
      <c r="C21" t="s">
        <v>4</v>
      </c>
      <c r="D21">
        <v>5</v>
      </c>
      <c r="E21">
        <f>D21/6</f>
        <v>0.83333333333333337</v>
      </c>
      <c r="F21">
        <v>0</v>
      </c>
      <c r="G21">
        <f t="shared" si="7"/>
        <v>0</v>
      </c>
      <c r="H21">
        <v>1</v>
      </c>
      <c r="I21">
        <f t="shared" si="8"/>
        <v>0.2</v>
      </c>
      <c r="J21">
        <v>4</v>
      </c>
      <c r="K21">
        <f t="shared" si="9"/>
        <v>0.8</v>
      </c>
      <c r="L21">
        <v>0</v>
      </c>
      <c r="M21">
        <f t="shared" si="10"/>
        <v>0</v>
      </c>
      <c r="O21">
        <f t="shared" si="11"/>
        <v>0</v>
      </c>
      <c r="P21">
        <f t="shared" si="12"/>
        <v>3.2</v>
      </c>
      <c r="Q21">
        <f>108/D21</f>
        <v>21.6</v>
      </c>
      <c r="R21">
        <f t="shared" si="13"/>
        <v>0.55384615384615388</v>
      </c>
      <c r="S21">
        <v>0</v>
      </c>
      <c r="T21">
        <f t="shared" si="14"/>
        <v>0</v>
      </c>
      <c r="U21">
        <v>0</v>
      </c>
      <c r="V21">
        <f t="shared" si="15"/>
        <v>0</v>
      </c>
    </row>
    <row r="22" spans="1:22">
      <c r="A22" s="1"/>
      <c r="B22">
        <v>6</v>
      </c>
      <c r="C22" t="s">
        <v>5</v>
      </c>
      <c r="D22">
        <v>9</v>
      </c>
      <c r="E22">
        <f>D22/12</f>
        <v>0.75</v>
      </c>
      <c r="F22">
        <v>0</v>
      </c>
      <c r="G22">
        <f t="shared" si="7"/>
        <v>0</v>
      </c>
      <c r="H22">
        <v>4</v>
      </c>
      <c r="I22">
        <f t="shared" si="8"/>
        <v>0.44444444444444442</v>
      </c>
      <c r="J22">
        <v>5</v>
      </c>
      <c r="K22">
        <f t="shared" si="9"/>
        <v>0.55555555555555558</v>
      </c>
      <c r="L22">
        <v>0</v>
      </c>
      <c r="M22">
        <f t="shared" si="10"/>
        <v>0</v>
      </c>
      <c r="O22">
        <f t="shared" si="11"/>
        <v>0</v>
      </c>
      <c r="P22">
        <f t="shared" si="12"/>
        <v>3.4444444444444446</v>
      </c>
      <c r="Q22">
        <f>204/D22</f>
        <v>22.666666666666668</v>
      </c>
      <c r="R22">
        <f t="shared" si="13"/>
        <v>0.58119658119658124</v>
      </c>
      <c r="S22">
        <v>0</v>
      </c>
      <c r="T22">
        <f t="shared" si="14"/>
        <v>0</v>
      </c>
      <c r="U22">
        <v>0</v>
      </c>
      <c r="V22">
        <f t="shared" si="15"/>
        <v>0</v>
      </c>
    </row>
    <row r="23" spans="1:22">
      <c r="A23" s="1"/>
      <c r="B23">
        <v>7</v>
      </c>
      <c r="C23" t="s">
        <v>16</v>
      </c>
      <c r="D23">
        <v>6</v>
      </c>
      <c r="E23">
        <f>D23/6</f>
        <v>1</v>
      </c>
      <c r="F23">
        <v>0</v>
      </c>
      <c r="G23">
        <f t="shared" si="7"/>
        <v>0</v>
      </c>
      <c r="H23">
        <v>4</v>
      </c>
      <c r="I23">
        <f t="shared" si="8"/>
        <v>0.66666666666666663</v>
      </c>
      <c r="J23">
        <v>2</v>
      </c>
      <c r="K23">
        <f t="shared" si="9"/>
        <v>0.33333333333333331</v>
      </c>
      <c r="L23">
        <v>0</v>
      </c>
      <c r="M23">
        <f t="shared" si="10"/>
        <v>0</v>
      </c>
      <c r="O23">
        <f t="shared" si="11"/>
        <v>0</v>
      </c>
      <c r="P23">
        <f t="shared" si="12"/>
        <v>3.6666666666666665</v>
      </c>
      <c r="Q23">
        <f>153/D23</f>
        <v>25.5</v>
      </c>
      <c r="R23">
        <f t="shared" si="13"/>
        <v>0.65384615384615385</v>
      </c>
      <c r="S23">
        <v>0</v>
      </c>
      <c r="T23">
        <f t="shared" si="14"/>
        <v>0</v>
      </c>
      <c r="U23">
        <v>0</v>
      </c>
      <c r="V23">
        <f t="shared" si="15"/>
        <v>0</v>
      </c>
    </row>
    <row r="24" spans="1:22">
      <c r="A24" s="1"/>
      <c r="B24">
        <v>8</v>
      </c>
      <c r="C24" t="s">
        <v>17</v>
      </c>
      <c r="D24">
        <v>2</v>
      </c>
      <c r="E24">
        <f>D24/2</f>
        <v>1</v>
      </c>
      <c r="F24">
        <v>1</v>
      </c>
      <c r="G24">
        <f t="shared" si="7"/>
        <v>0.5</v>
      </c>
      <c r="H24">
        <v>0</v>
      </c>
      <c r="I24">
        <f t="shared" si="8"/>
        <v>0</v>
      </c>
      <c r="J24">
        <v>1</v>
      </c>
      <c r="K24">
        <f t="shared" si="9"/>
        <v>0.5</v>
      </c>
      <c r="L24">
        <v>0</v>
      </c>
      <c r="M24">
        <f t="shared" si="10"/>
        <v>0</v>
      </c>
      <c r="O24">
        <f t="shared" si="11"/>
        <v>0</v>
      </c>
      <c r="P24">
        <f t="shared" si="12"/>
        <v>4</v>
      </c>
      <c r="Q24">
        <v>28</v>
      </c>
      <c r="R24">
        <f t="shared" si="13"/>
        <v>0.71794871794871795</v>
      </c>
      <c r="S24">
        <v>0</v>
      </c>
      <c r="T24">
        <f t="shared" si="14"/>
        <v>0</v>
      </c>
      <c r="V24">
        <f t="shared" si="15"/>
        <v>0</v>
      </c>
    </row>
    <row r="25" spans="1:22">
      <c r="A25" s="1"/>
      <c r="C25" t="s">
        <v>6</v>
      </c>
      <c r="D25">
        <f>SUM(D17:D24)</f>
        <v>183</v>
      </c>
      <c r="E25">
        <f>D25/257</f>
        <v>0.71206225680933855</v>
      </c>
      <c r="F25">
        <f>SUM(F17:F24)</f>
        <v>8</v>
      </c>
      <c r="G25">
        <f t="shared" si="7"/>
        <v>4.3715846994535519E-2</v>
      </c>
      <c r="H25">
        <f>SUM(H17:H24)</f>
        <v>78</v>
      </c>
      <c r="I25">
        <f t="shared" si="8"/>
        <v>0.42622950819672129</v>
      </c>
      <c r="J25">
        <f>SUM(J17:J24)</f>
        <v>97</v>
      </c>
      <c r="K25">
        <f t="shared" si="9"/>
        <v>0.5300546448087432</v>
      </c>
      <c r="L25">
        <f>SUM(SUM(L17:L24))</f>
        <v>1</v>
      </c>
      <c r="M25">
        <f>L25/D25</f>
        <v>5.4644808743169399E-3</v>
      </c>
      <c r="O25">
        <f t="shared" si="11"/>
        <v>0</v>
      </c>
      <c r="P25">
        <f>(F25*5+H25*4+J25*3+N25*2)/D25</f>
        <v>3.5136612021857925</v>
      </c>
      <c r="Q25">
        <f>(4404-12+24)/D25</f>
        <v>24.131147540983605</v>
      </c>
      <c r="R25">
        <f>4404/(D25*39)</f>
        <v>0.61706599411517449</v>
      </c>
      <c r="S25">
        <f>SUM(S17:S24)</f>
        <v>0</v>
      </c>
      <c r="T25">
        <f t="shared" si="14"/>
        <v>0</v>
      </c>
      <c r="U25">
        <f>SUM(U17:U24)</f>
        <v>0</v>
      </c>
      <c r="V25">
        <f t="shared" si="15"/>
        <v>0</v>
      </c>
    </row>
    <row r="26" spans="1:22">
      <c r="A26" s="1"/>
      <c r="C26" t="s">
        <v>21</v>
      </c>
      <c r="O26">
        <v>3.2300000000000002E-2</v>
      </c>
      <c r="P26">
        <v>3.5</v>
      </c>
      <c r="Q26">
        <v>24.38</v>
      </c>
    </row>
    <row r="28" spans="1:22">
      <c r="B28" s="1" t="s">
        <v>138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2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P29" s="1" t="s">
        <v>24</v>
      </c>
      <c r="Q29" s="1" t="s">
        <v>14</v>
      </c>
      <c r="R29" s="1" t="s">
        <v>32</v>
      </c>
      <c r="S29" s="1" t="s">
        <v>33</v>
      </c>
      <c r="T29" s="1"/>
      <c r="U29" s="1" t="s">
        <v>152</v>
      </c>
      <c r="V29" s="1"/>
    </row>
    <row r="30" spans="1:22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P30" s="1"/>
      <c r="Q30" s="1"/>
      <c r="R30" s="1"/>
      <c r="S30" t="s">
        <v>8</v>
      </c>
      <c r="T30" t="s">
        <v>10</v>
      </c>
      <c r="U30" t="s">
        <v>8</v>
      </c>
      <c r="V30" t="s">
        <v>10</v>
      </c>
    </row>
    <row r="31" spans="1:22">
      <c r="A31" s="1"/>
      <c r="B31">
        <v>1</v>
      </c>
      <c r="C31" t="s">
        <v>0</v>
      </c>
      <c r="D31">
        <v>26</v>
      </c>
      <c r="E31">
        <f>D31/51</f>
        <v>0.50980392156862742</v>
      </c>
      <c r="F31">
        <v>3</v>
      </c>
      <c r="G31">
        <f>F31/D31</f>
        <v>0.11538461538461539</v>
      </c>
      <c r="H31">
        <v>12</v>
      </c>
      <c r="I31">
        <f>H31/D31</f>
        <v>0.46153846153846156</v>
      </c>
      <c r="J31">
        <v>11</v>
      </c>
      <c r="K31">
        <f>J31/D31</f>
        <v>0.42307692307692307</v>
      </c>
      <c r="L31">
        <v>1</v>
      </c>
      <c r="M31">
        <f>L31/D31</f>
        <v>3.8461538461538464E-2</v>
      </c>
      <c r="P31">
        <f>(F31*5+H31*4+J31*3+1*2)/D31</f>
        <v>3.7692307692307692</v>
      </c>
      <c r="Q31">
        <f>(651+1)/D31</f>
        <v>25.076923076923077</v>
      </c>
      <c r="R31">
        <f>Q31/39</f>
        <v>0.64299802761341218</v>
      </c>
      <c r="S31">
        <v>2</v>
      </c>
      <c r="T31">
        <f>S31/D31</f>
        <v>7.6923076923076927E-2</v>
      </c>
      <c r="U31">
        <v>0</v>
      </c>
      <c r="V31">
        <f>U31/D31</f>
        <v>0</v>
      </c>
    </row>
    <row r="32" spans="1:22">
      <c r="A32" s="1"/>
      <c r="B32">
        <v>2</v>
      </c>
      <c r="C32" t="s">
        <v>1</v>
      </c>
      <c r="D32">
        <v>9</v>
      </c>
      <c r="E32">
        <f>D32/35</f>
        <v>0.25714285714285712</v>
      </c>
      <c r="F32">
        <v>0</v>
      </c>
      <c r="G32">
        <f t="shared" ref="G32:G39" si="16">F32/D32</f>
        <v>0</v>
      </c>
      <c r="H32">
        <v>2</v>
      </c>
      <c r="I32">
        <f t="shared" ref="I32:I39" si="17">H32/D32</f>
        <v>0.22222222222222221</v>
      </c>
      <c r="J32">
        <v>7</v>
      </c>
      <c r="K32">
        <f t="shared" ref="K32:K39" si="18">J32/D32</f>
        <v>0.77777777777777779</v>
      </c>
      <c r="L32">
        <v>0</v>
      </c>
      <c r="M32">
        <f t="shared" ref="M32:M38" si="19">L32/D32</f>
        <v>0</v>
      </c>
      <c r="P32">
        <f>(F32*5+H32*4+J32*3+L32*2)/D32</f>
        <v>3.2222222222222223</v>
      </c>
      <c r="Q32">
        <f>(152+66)/D32</f>
        <v>24.222222222222221</v>
      </c>
      <c r="R32">
        <f t="shared" ref="R32:R38" si="20">Q32/39</f>
        <v>0.62108262108262102</v>
      </c>
      <c r="S32">
        <v>0</v>
      </c>
      <c r="T32">
        <f t="shared" ref="T32:T39" si="21">S32/D32</f>
        <v>0</v>
      </c>
      <c r="U32">
        <v>0</v>
      </c>
      <c r="V32">
        <f t="shared" ref="V32:V39" si="22">U32/D32</f>
        <v>0</v>
      </c>
    </row>
    <row r="33" spans="1:22">
      <c r="A33" s="1"/>
      <c r="B33">
        <v>3</v>
      </c>
      <c r="C33" t="s">
        <v>2</v>
      </c>
      <c r="D33">
        <v>64</v>
      </c>
      <c r="E33">
        <f>D33/97</f>
        <v>0.65979381443298968</v>
      </c>
      <c r="F33">
        <v>0</v>
      </c>
      <c r="G33">
        <f t="shared" si="16"/>
        <v>0</v>
      </c>
      <c r="H33">
        <v>33</v>
      </c>
      <c r="I33">
        <f t="shared" si="17"/>
        <v>0.515625</v>
      </c>
      <c r="J33">
        <v>31</v>
      </c>
      <c r="K33">
        <f t="shared" si="18"/>
        <v>0.484375</v>
      </c>
      <c r="L33">
        <v>0</v>
      </c>
      <c r="M33">
        <f t="shared" si="19"/>
        <v>0</v>
      </c>
      <c r="P33">
        <f>(F33*5+H33*4+J33*3+L33*2)/D33</f>
        <v>3.515625</v>
      </c>
      <c r="Q33">
        <f>(1014+564)/D33</f>
        <v>24.65625</v>
      </c>
      <c r="R33">
        <f t="shared" si="20"/>
        <v>0.63221153846153844</v>
      </c>
      <c r="S33">
        <v>0</v>
      </c>
      <c r="T33">
        <f t="shared" si="21"/>
        <v>0</v>
      </c>
      <c r="U33">
        <v>0</v>
      </c>
      <c r="V33">
        <f t="shared" si="22"/>
        <v>0</v>
      </c>
    </row>
    <row r="34" spans="1:22">
      <c r="A34" s="1"/>
      <c r="B34">
        <v>4</v>
      </c>
      <c r="C34" t="s">
        <v>3</v>
      </c>
      <c r="D34">
        <v>34</v>
      </c>
      <c r="E34">
        <f>D34/52</f>
        <v>0.65384615384615385</v>
      </c>
      <c r="F34">
        <v>2</v>
      </c>
      <c r="G34">
        <f t="shared" si="16"/>
        <v>5.8823529411764705E-2</v>
      </c>
      <c r="H34">
        <v>18</v>
      </c>
      <c r="I34">
        <f t="shared" si="17"/>
        <v>0.52941176470588236</v>
      </c>
      <c r="J34">
        <v>14</v>
      </c>
      <c r="K34">
        <f t="shared" si="18"/>
        <v>0.41176470588235292</v>
      </c>
      <c r="L34">
        <v>0</v>
      </c>
      <c r="M34">
        <f t="shared" si="19"/>
        <v>0</v>
      </c>
      <c r="P34">
        <f>(F34*5+H34*4+J34*3+L34*2)/D34</f>
        <v>3.6470588235294117</v>
      </c>
      <c r="Q34">
        <f>(636+233)/D34</f>
        <v>25.558823529411764</v>
      </c>
      <c r="R34">
        <f t="shared" si="20"/>
        <v>0.65535444947209653</v>
      </c>
      <c r="S34">
        <v>1</v>
      </c>
      <c r="T34">
        <f t="shared" si="21"/>
        <v>2.9411764705882353E-2</v>
      </c>
      <c r="U34">
        <v>0</v>
      </c>
      <c r="V34">
        <f t="shared" si="22"/>
        <v>0</v>
      </c>
    </row>
    <row r="35" spans="1:22">
      <c r="A35" s="1"/>
      <c r="B35">
        <v>5</v>
      </c>
      <c r="C35" t="s">
        <v>4</v>
      </c>
      <c r="D35">
        <v>2</v>
      </c>
      <c r="E35">
        <f>D35/2</f>
        <v>1</v>
      </c>
      <c r="F35">
        <v>0</v>
      </c>
      <c r="G35">
        <f t="shared" si="16"/>
        <v>0</v>
      </c>
      <c r="H35">
        <v>0</v>
      </c>
      <c r="I35">
        <f t="shared" si="17"/>
        <v>0</v>
      </c>
      <c r="J35">
        <v>2</v>
      </c>
      <c r="K35">
        <f t="shared" si="18"/>
        <v>1</v>
      </c>
      <c r="L35">
        <v>0</v>
      </c>
      <c r="M35">
        <f t="shared" si="19"/>
        <v>0</v>
      </c>
      <c r="P35">
        <v>3</v>
      </c>
      <c r="Q35">
        <f>(15+22)/D35</f>
        <v>18.5</v>
      </c>
      <c r="R35">
        <f t="shared" si="20"/>
        <v>0.47435897435897434</v>
      </c>
      <c r="S35">
        <v>0</v>
      </c>
      <c r="T35">
        <f t="shared" si="21"/>
        <v>0</v>
      </c>
      <c r="V35">
        <f t="shared" si="22"/>
        <v>0</v>
      </c>
    </row>
    <row r="36" spans="1:22">
      <c r="A36" s="1"/>
      <c r="B36">
        <v>6</v>
      </c>
      <c r="C36" t="s">
        <v>5</v>
      </c>
      <c r="D36">
        <v>7</v>
      </c>
      <c r="E36">
        <f>D36/11</f>
        <v>0.63636363636363635</v>
      </c>
      <c r="F36">
        <v>0</v>
      </c>
      <c r="G36">
        <f t="shared" si="16"/>
        <v>0</v>
      </c>
      <c r="H36">
        <v>2</v>
      </c>
      <c r="I36">
        <f t="shared" si="17"/>
        <v>0.2857142857142857</v>
      </c>
      <c r="J36">
        <v>5</v>
      </c>
      <c r="K36">
        <f t="shared" si="18"/>
        <v>0.7142857142857143</v>
      </c>
      <c r="L36">
        <v>0</v>
      </c>
      <c r="M36">
        <f t="shared" si="19"/>
        <v>0</v>
      </c>
      <c r="P36">
        <f>(F36*5+H36*4+J36*3)/D36</f>
        <v>3.2857142857142856</v>
      </c>
      <c r="Q36">
        <f>155/D36</f>
        <v>22.142857142857142</v>
      </c>
      <c r="R36">
        <f t="shared" si="20"/>
        <v>0.56776556776556775</v>
      </c>
      <c r="S36">
        <v>0</v>
      </c>
      <c r="T36">
        <f t="shared" si="21"/>
        <v>0</v>
      </c>
      <c r="U36">
        <v>0</v>
      </c>
      <c r="V36">
        <f t="shared" si="22"/>
        <v>0</v>
      </c>
    </row>
    <row r="37" spans="1:22">
      <c r="A37" s="1"/>
      <c r="B37">
        <v>7</v>
      </c>
      <c r="C37" t="s">
        <v>16</v>
      </c>
      <c r="D37">
        <v>7</v>
      </c>
      <c r="E37">
        <f>D37/7</f>
        <v>1</v>
      </c>
      <c r="F37">
        <v>1</v>
      </c>
      <c r="G37">
        <f t="shared" si="16"/>
        <v>0.14285714285714285</v>
      </c>
      <c r="H37">
        <v>4</v>
      </c>
      <c r="I37">
        <f t="shared" si="17"/>
        <v>0.5714285714285714</v>
      </c>
      <c r="J37">
        <v>2</v>
      </c>
      <c r="K37">
        <f t="shared" si="18"/>
        <v>0.2857142857142857</v>
      </c>
      <c r="L37">
        <v>0</v>
      </c>
      <c r="M37">
        <f t="shared" si="19"/>
        <v>0</v>
      </c>
      <c r="P37">
        <f>(F37*5+H37*4+J37*3)/D37</f>
        <v>3.8571428571428572</v>
      </c>
      <c r="Q37">
        <f>191/D37</f>
        <v>27.285714285714285</v>
      </c>
      <c r="R37">
        <f t="shared" si="20"/>
        <v>0.69963369963369959</v>
      </c>
      <c r="S37">
        <v>0</v>
      </c>
      <c r="T37">
        <f t="shared" si="21"/>
        <v>0</v>
      </c>
      <c r="V37">
        <f t="shared" si="22"/>
        <v>0</v>
      </c>
    </row>
    <row r="38" spans="1:22">
      <c r="A38" s="1"/>
      <c r="B38">
        <v>8</v>
      </c>
      <c r="C38" t="s">
        <v>17</v>
      </c>
      <c r="D38">
        <v>3</v>
      </c>
      <c r="E38">
        <f>D38/3</f>
        <v>1</v>
      </c>
      <c r="F38">
        <v>0</v>
      </c>
      <c r="G38">
        <f t="shared" si="16"/>
        <v>0</v>
      </c>
      <c r="H38">
        <v>1</v>
      </c>
      <c r="I38">
        <f t="shared" si="17"/>
        <v>0.33333333333333331</v>
      </c>
      <c r="J38">
        <v>2</v>
      </c>
      <c r="K38">
        <f t="shared" si="18"/>
        <v>0.66666666666666663</v>
      </c>
      <c r="L38">
        <v>0</v>
      </c>
      <c r="M38">
        <f t="shared" si="19"/>
        <v>0</v>
      </c>
      <c r="P38">
        <f>(F38*5+H38*4+J38*3+L38*2)/D38</f>
        <v>3.3333333333333335</v>
      </c>
      <c r="Q38">
        <f>65/D38</f>
        <v>21.666666666666668</v>
      </c>
      <c r="R38">
        <f t="shared" si="20"/>
        <v>0.55555555555555558</v>
      </c>
      <c r="S38">
        <v>0</v>
      </c>
      <c r="T38">
        <f t="shared" si="21"/>
        <v>0</v>
      </c>
      <c r="V38">
        <f t="shared" si="22"/>
        <v>0</v>
      </c>
    </row>
    <row r="39" spans="1:22">
      <c r="A39" s="1"/>
      <c r="C39" t="s">
        <v>6</v>
      </c>
      <c r="D39">
        <f>SUM(D31:D38)</f>
        <v>152</v>
      </c>
      <c r="E39">
        <f>D39/260</f>
        <v>0.58461538461538465</v>
      </c>
      <c r="F39">
        <f>SUM(F31:F38)</f>
        <v>6</v>
      </c>
      <c r="G39">
        <f t="shared" si="16"/>
        <v>3.9473684210526314E-2</v>
      </c>
      <c r="H39">
        <f>SUM(H31:H38)</f>
        <v>72</v>
      </c>
      <c r="I39">
        <f t="shared" si="17"/>
        <v>0.47368421052631576</v>
      </c>
      <c r="J39">
        <f>SUM(J31:J38)</f>
        <v>74</v>
      </c>
      <c r="K39">
        <f t="shared" si="18"/>
        <v>0.48684210526315791</v>
      </c>
      <c r="L39">
        <f>SUM(SUM(L31:L38))</f>
        <v>1</v>
      </c>
      <c r="M39">
        <f>L39/D39</f>
        <v>6.5789473684210523E-3</v>
      </c>
      <c r="P39">
        <f>(F39*5+H39*4+J39*3+L39*2)/D39</f>
        <v>3.5657894736842106</v>
      </c>
      <c r="Q39">
        <f>(2227+1537+1)/D39</f>
        <v>24.769736842105264</v>
      </c>
      <c r="R39">
        <f>(2227+1537+1)/(D39*39)</f>
        <v>0.63512145748987858</v>
      </c>
      <c r="S39">
        <f>SUM(S31:S38)</f>
        <v>3</v>
      </c>
      <c r="T39">
        <f t="shared" si="21"/>
        <v>1.9736842105263157E-2</v>
      </c>
      <c r="U39">
        <f>SUM(U31:U38)</f>
        <v>0</v>
      </c>
      <c r="V39">
        <f t="shared" si="22"/>
        <v>0</v>
      </c>
    </row>
    <row r="40" spans="1:22">
      <c r="A40" s="1"/>
      <c r="C40" t="s">
        <v>21</v>
      </c>
    </row>
    <row r="41" spans="1:22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P41" s="1" t="s">
        <v>24</v>
      </c>
      <c r="Q41" s="1" t="s">
        <v>14</v>
      </c>
      <c r="R41" s="1" t="s">
        <v>32</v>
      </c>
      <c r="S41" s="1" t="s">
        <v>33</v>
      </c>
      <c r="T41" s="1"/>
      <c r="U41" s="1" t="s">
        <v>42</v>
      </c>
      <c r="V41" s="1"/>
    </row>
    <row r="42" spans="1:22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P42" s="1"/>
      <c r="Q42" s="1"/>
      <c r="R42" s="1"/>
      <c r="S42" t="s">
        <v>8</v>
      </c>
      <c r="T42" t="s">
        <v>10</v>
      </c>
      <c r="U42" t="s">
        <v>8</v>
      </c>
      <c r="V42" t="s">
        <v>10</v>
      </c>
    </row>
    <row r="43" spans="1:22">
      <c r="A43" s="1"/>
      <c r="B43">
        <v>1</v>
      </c>
      <c r="C43" t="s">
        <v>0</v>
      </c>
      <c r="D43">
        <v>25</v>
      </c>
      <c r="E43">
        <f>D43/53</f>
        <v>0.47169811320754718</v>
      </c>
      <c r="F43">
        <v>3</v>
      </c>
      <c r="G43">
        <f>F43/D43</f>
        <v>0.12</v>
      </c>
      <c r="H43">
        <v>12</v>
      </c>
      <c r="I43">
        <f>H43/D43</f>
        <v>0.48</v>
      </c>
      <c r="J43">
        <v>10</v>
      </c>
      <c r="K43">
        <f>J43/D43</f>
        <v>0.4</v>
      </c>
      <c r="L43">
        <v>0</v>
      </c>
      <c r="M43">
        <f>L43/D43</f>
        <v>0</v>
      </c>
      <c r="P43">
        <f>(F43*5+H43*4+J43*3+L43*2)/D43</f>
        <v>3.72</v>
      </c>
      <c r="Q43">
        <f>670/D43</f>
        <v>26.8</v>
      </c>
      <c r="R43">
        <f t="shared" ref="R43:R50" si="23">Q43/39</f>
        <v>0.68717948717948718</v>
      </c>
      <c r="S43">
        <v>1</v>
      </c>
      <c r="T43">
        <f>S43/D43</f>
        <v>0.04</v>
      </c>
      <c r="U43">
        <v>0</v>
      </c>
      <c r="V43">
        <f>U43/D43</f>
        <v>0</v>
      </c>
    </row>
    <row r="44" spans="1:22">
      <c r="A44" s="1"/>
      <c r="B44">
        <v>2</v>
      </c>
      <c r="C44" t="s">
        <v>1</v>
      </c>
      <c r="D44">
        <v>22</v>
      </c>
      <c r="E44">
        <f>D44/45</f>
        <v>0.48888888888888887</v>
      </c>
      <c r="F44">
        <v>0</v>
      </c>
      <c r="G44">
        <f t="shared" ref="G44:G51" si="24">F44/D44</f>
        <v>0</v>
      </c>
      <c r="H44">
        <v>11</v>
      </c>
      <c r="I44">
        <f t="shared" ref="I44:I51" si="25">H44/D44</f>
        <v>0.5</v>
      </c>
      <c r="J44">
        <v>11</v>
      </c>
      <c r="K44">
        <f t="shared" ref="K44:K51" si="26">J44/D44</f>
        <v>0.5</v>
      </c>
      <c r="L44">
        <v>0</v>
      </c>
      <c r="M44">
        <f t="shared" ref="M44:M50" si="27">L44/D44</f>
        <v>0</v>
      </c>
      <c r="P44">
        <f>(F44*5+H44*4+J44*3+L44*2)/D44</f>
        <v>3.5</v>
      </c>
      <c r="Q44">
        <f>531/D44</f>
        <v>24.136363636363637</v>
      </c>
      <c r="R44">
        <f t="shared" si="23"/>
        <v>0.61888111888111885</v>
      </c>
      <c r="S44">
        <v>0</v>
      </c>
      <c r="T44">
        <f t="shared" ref="T44:T51" si="28">S44/D44</f>
        <v>0</v>
      </c>
      <c r="U44">
        <v>0</v>
      </c>
      <c r="V44">
        <f t="shared" ref="V44:V51" si="29">U44/D44</f>
        <v>0</v>
      </c>
    </row>
    <row r="45" spans="1:22">
      <c r="A45" s="1"/>
      <c r="B45">
        <v>3</v>
      </c>
      <c r="C45" t="s">
        <v>2</v>
      </c>
      <c r="D45">
        <v>79</v>
      </c>
      <c r="E45">
        <f>D45/103</f>
        <v>0.76699029126213591</v>
      </c>
      <c r="F45">
        <v>2</v>
      </c>
      <c r="G45">
        <f t="shared" si="24"/>
        <v>2.5316455696202531E-2</v>
      </c>
      <c r="H45">
        <v>30</v>
      </c>
      <c r="I45">
        <f t="shared" si="25"/>
        <v>0.379746835443038</v>
      </c>
      <c r="J45">
        <v>47</v>
      </c>
      <c r="K45">
        <f t="shared" si="26"/>
        <v>0.59493670886075944</v>
      </c>
      <c r="L45">
        <v>0</v>
      </c>
      <c r="M45">
        <f t="shared" si="27"/>
        <v>0</v>
      </c>
      <c r="P45">
        <f>(F45*5+H45*4+J45*3+L45*2)/D45</f>
        <v>3.4303797468354431</v>
      </c>
      <c r="Q45">
        <f>1946/D45</f>
        <v>24.632911392405063</v>
      </c>
      <c r="R45">
        <f t="shared" si="23"/>
        <v>0.6316131126257708</v>
      </c>
      <c r="S45">
        <v>0</v>
      </c>
      <c r="T45">
        <f t="shared" si="28"/>
        <v>0</v>
      </c>
      <c r="U45">
        <v>0</v>
      </c>
      <c r="V45">
        <f t="shared" si="29"/>
        <v>0</v>
      </c>
    </row>
    <row r="46" spans="1:22">
      <c r="A46" s="1"/>
      <c r="B46">
        <v>4</v>
      </c>
      <c r="C46" t="s">
        <v>3</v>
      </c>
      <c r="D46">
        <v>20</v>
      </c>
      <c r="E46">
        <f>D46/36</f>
        <v>0.55555555555555558</v>
      </c>
      <c r="F46">
        <v>0</v>
      </c>
      <c r="G46">
        <f t="shared" si="24"/>
        <v>0</v>
      </c>
      <c r="H46">
        <v>11</v>
      </c>
      <c r="I46">
        <f t="shared" si="25"/>
        <v>0.55000000000000004</v>
      </c>
      <c r="J46">
        <v>9</v>
      </c>
      <c r="K46">
        <f t="shared" si="26"/>
        <v>0.45</v>
      </c>
      <c r="L46">
        <v>0</v>
      </c>
      <c r="M46">
        <f t="shared" si="27"/>
        <v>0</v>
      </c>
      <c r="P46">
        <f>(F46*5+H46*4+J46*3+L46*2)/D46</f>
        <v>3.55</v>
      </c>
      <c r="Q46">
        <f>480/D46</f>
        <v>24</v>
      </c>
      <c r="R46">
        <f t="shared" si="23"/>
        <v>0.61538461538461542</v>
      </c>
      <c r="S46">
        <v>0</v>
      </c>
      <c r="T46">
        <f t="shared" si="28"/>
        <v>0</v>
      </c>
      <c r="U46">
        <v>0</v>
      </c>
      <c r="V46">
        <f t="shared" si="29"/>
        <v>0</v>
      </c>
    </row>
    <row r="47" spans="1:22">
      <c r="A47" s="1"/>
      <c r="B47">
        <v>5</v>
      </c>
      <c r="C47" t="s">
        <v>4</v>
      </c>
      <c r="D47">
        <v>4</v>
      </c>
      <c r="E47">
        <f>D47/5</f>
        <v>0.8</v>
      </c>
      <c r="F47">
        <v>0</v>
      </c>
      <c r="G47">
        <f t="shared" si="24"/>
        <v>0</v>
      </c>
      <c r="H47">
        <v>0</v>
      </c>
      <c r="I47">
        <f t="shared" si="25"/>
        <v>0</v>
      </c>
      <c r="J47">
        <v>4</v>
      </c>
      <c r="K47">
        <f t="shared" si="26"/>
        <v>1</v>
      </c>
      <c r="L47">
        <v>0</v>
      </c>
      <c r="M47">
        <f t="shared" si="27"/>
        <v>0</v>
      </c>
      <c r="P47">
        <v>3</v>
      </c>
      <c r="Q47">
        <f>89/D47</f>
        <v>22.25</v>
      </c>
      <c r="R47">
        <f t="shared" si="23"/>
        <v>0.57051282051282048</v>
      </c>
      <c r="S47">
        <v>0</v>
      </c>
      <c r="T47">
        <f t="shared" si="28"/>
        <v>0</v>
      </c>
      <c r="V47">
        <f t="shared" si="29"/>
        <v>0</v>
      </c>
    </row>
    <row r="48" spans="1:22">
      <c r="A48" s="1"/>
      <c r="B48">
        <v>6</v>
      </c>
      <c r="C48" t="s">
        <v>5</v>
      </c>
      <c r="D48">
        <v>8</v>
      </c>
      <c r="E48">
        <f>D48/8</f>
        <v>1</v>
      </c>
      <c r="F48">
        <v>0</v>
      </c>
      <c r="G48">
        <f t="shared" si="24"/>
        <v>0</v>
      </c>
      <c r="H48">
        <v>0</v>
      </c>
      <c r="I48">
        <f t="shared" si="25"/>
        <v>0</v>
      </c>
      <c r="J48">
        <v>8</v>
      </c>
      <c r="K48">
        <f t="shared" si="26"/>
        <v>1</v>
      </c>
      <c r="L48">
        <v>3</v>
      </c>
      <c r="M48">
        <f t="shared" si="27"/>
        <v>0.375</v>
      </c>
      <c r="P48">
        <f>(F48*5+H48*4+J48*3)/D48</f>
        <v>3</v>
      </c>
      <c r="Q48">
        <f>153/D48</f>
        <v>19.125</v>
      </c>
      <c r="R48">
        <f t="shared" si="23"/>
        <v>0.49038461538461536</v>
      </c>
      <c r="S48">
        <v>0</v>
      </c>
      <c r="T48">
        <f t="shared" si="28"/>
        <v>0</v>
      </c>
      <c r="V48">
        <f t="shared" si="29"/>
        <v>0</v>
      </c>
    </row>
    <row r="49" spans="1:22">
      <c r="A49" s="1"/>
      <c r="B49">
        <v>7</v>
      </c>
      <c r="C49" t="s">
        <v>16</v>
      </c>
      <c r="D49">
        <v>2</v>
      </c>
      <c r="E49">
        <f>D49/2</f>
        <v>1</v>
      </c>
      <c r="F49">
        <v>0</v>
      </c>
      <c r="G49">
        <f t="shared" si="24"/>
        <v>0</v>
      </c>
      <c r="H49">
        <v>2</v>
      </c>
      <c r="I49">
        <f t="shared" si="25"/>
        <v>1</v>
      </c>
      <c r="J49">
        <v>0</v>
      </c>
      <c r="K49">
        <f t="shared" si="26"/>
        <v>0</v>
      </c>
      <c r="L49">
        <v>0</v>
      </c>
      <c r="M49">
        <f t="shared" si="27"/>
        <v>0</v>
      </c>
      <c r="P49">
        <v>4</v>
      </c>
      <c r="Q49">
        <f>53/D49</f>
        <v>26.5</v>
      </c>
      <c r="R49">
        <f t="shared" si="23"/>
        <v>0.67948717948717952</v>
      </c>
      <c r="S49">
        <v>0</v>
      </c>
      <c r="T49">
        <f t="shared" si="28"/>
        <v>0</v>
      </c>
      <c r="V49">
        <f t="shared" si="29"/>
        <v>0</v>
      </c>
    </row>
    <row r="50" spans="1:22">
      <c r="A50" s="1"/>
      <c r="B50">
        <v>8</v>
      </c>
      <c r="C50" t="s">
        <v>17</v>
      </c>
      <c r="D50">
        <v>4</v>
      </c>
      <c r="E50">
        <f>D50/4</f>
        <v>1</v>
      </c>
      <c r="F50">
        <v>0</v>
      </c>
      <c r="G50">
        <f t="shared" si="24"/>
        <v>0</v>
      </c>
      <c r="H50">
        <v>2</v>
      </c>
      <c r="I50">
        <f t="shared" si="25"/>
        <v>0.5</v>
      </c>
      <c r="J50">
        <v>2</v>
      </c>
      <c r="K50">
        <f t="shared" si="26"/>
        <v>0.5</v>
      </c>
      <c r="L50">
        <v>0</v>
      </c>
      <c r="M50">
        <f t="shared" si="27"/>
        <v>0</v>
      </c>
      <c r="P50">
        <f>(F50*5+H50*4+J50*3+L50*2)/D50</f>
        <v>3.5</v>
      </c>
      <c r="Q50">
        <f>87/D50</f>
        <v>21.75</v>
      </c>
      <c r="R50">
        <f t="shared" si="23"/>
        <v>0.55769230769230771</v>
      </c>
      <c r="S50">
        <v>0</v>
      </c>
      <c r="T50">
        <f t="shared" si="28"/>
        <v>0</v>
      </c>
      <c r="V50">
        <f t="shared" si="29"/>
        <v>0</v>
      </c>
    </row>
    <row r="51" spans="1:22">
      <c r="A51" s="1"/>
      <c r="C51" t="s">
        <v>6</v>
      </c>
      <c r="D51">
        <f>SUM(D43:D50)</f>
        <v>164</v>
      </c>
      <c r="E51">
        <f>D51/262</f>
        <v>0.62595419847328249</v>
      </c>
      <c r="F51">
        <f>SUM(F43:F50)</f>
        <v>5</v>
      </c>
      <c r="G51">
        <f t="shared" si="24"/>
        <v>3.048780487804878E-2</v>
      </c>
      <c r="H51">
        <f>SUM(H43:H50)</f>
        <v>68</v>
      </c>
      <c r="I51">
        <f t="shared" si="25"/>
        <v>0.41463414634146339</v>
      </c>
      <c r="J51">
        <f>SUM(J43:J50)</f>
        <v>91</v>
      </c>
      <c r="K51">
        <f t="shared" si="26"/>
        <v>0.55487804878048785</v>
      </c>
      <c r="L51">
        <f>SUM(SUM(L43:L50))</f>
        <v>3</v>
      </c>
      <c r="M51">
        <f>L51/D51</f>
        <v>1.8292682926829267E-2</v>
      </c>
      <c r="P51">
        <f>(F51*5+H51*4+J51*3+L51*2)/D51</f>
        <v>3.5121951219512195</v>
      </c>
      <c r="Q51">
        <f>4009/D51</f>
        <v>24.445121951219512</v>
      </c>
      <c r="R51">
        <f>3985/(D51*39)</f>
        <v>0.62304565353345842</v>
      </c>
      <c r="S51">
        <f>SUM(S43:S50)</f>
        <v>1</v>
      </c>
      <c r="T51">
        <f t="shared" si="28"/>
        <v>6.0975609756097563E-3</v>
      </c>
      <c r="U51">
        <f>SUM(U43:U50)</f>
        <v>0</v>
      </c>
      <c r="V51">
        <f t="shared" si="29"/>
        <v>0</v>
      </c>
    </row>
    <row r="52" spans="1:22">
      <c r="A52" s="1"/>
      <c r="C52" t="s">
        <v>21</v>
      </c>
    </row>
  </sheetData>
  <mergeCells count="49">
    <mergeCell ref="R2:R3"/>
    <mergeCell ref="S2:T2"/>
    <mergeCell ref="U2:V2"/>
    <mergeCell ref="B1:R1"/>
    <mergeCell ref="A2:A13"/>
    <mergeCell ref="D2:E2"/>
    <mergeCell ref="F2:G2"/>
    <mergeCell ref="H2:I2"/>
    <mergeCell ref="J2:K2"/>
    <mergeCell ref="L2:M2"/>
    <mergeCell ref="N2:O2"/>
    <mergeCell ref="P2:P3"/>
    <mergeCell ref="Q2:Q3"/>
    <mergeCell ref="A29:A40"/>
    <mergeCell ref="A41:A52"/>
    <mergeCell ref="D29:E29"/>
    <mergeCell ref="F29:G29"/>
    <mergeCell ref="H29:I29"/>
    <mergeCell ref="D41:E41"/>
    <mergeCell ref="F41:G41"/>
    <mergeCell ref="H41:I41"/>
    <mergeCell ref="B28:R28"/>
    <mergeCell ref="S15:T15"/>
    <mergeCell ref="J41:K41"/>
    <mergeCell ref="L41:M41"/>
    <mergeCell ref="L29:M29"/>
    <mergeCell ref="Q41:Q42"/>
    <mergeCell ref="Q29:Q30"/>
    <mergeCell ref="Q15:Q16"/>
    <mergeCell ref="N15:O15"/>
    <mergeCell ref="R29:R30"/>
    <mergeCell ref="U29:V29"/>
    <mergeCell ref="U41:V41"/>
    <mergeCell ref="J29:K29"/>
    <mergeCell ref="R41:R42"/>
    <mergeCell ref="P29:P30"/>
    <mergeCell ref="S41:T41"/>
    <mergeCell ref="S29:T29"/>
    <mergeCell ref="P41:P42"/>
    <mergeCell ref="U15:V15"/>
    <mergeCell ref="B14:R14"/>
    <mergeCell ref="A15:A26"/>
    <mergeCell ref="D15:E15"/>
    <mergeCell ref="F15:G15"/>
    <mergeCell ref="H15:I15"/>
    <mergeCell ref="J15:K15"/>
    <mergeCell ref="L15:M15"/>
    <mergeCell ref="P15:P16"/>
    <mergeCell ref="R15:R16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V66"/>
  <sheetViews>
    <sheetView tabSelected="1" view="pageBreakPreview" zoomScale="6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4" sqref="C4:C9"/>
    </sheetView>
  </sheetViews>
  <sheetFormatPr defaultRowHeight="15"/>
  <cols>
    <col min="2" max="2" width="5.140625" customWidth="1"/>
    <col min="3" max="3" width="9.42578125" customWidth="1"/>
    <col min="4" max="4" width="7" customWidth="1"/>
    <col min="5" max="5" width="9.42578125" customWidth="1"/>
    <col min="6" max="6" width="5.5703125" customWidth="1"/>
    <col min="7" max="7" width="9.42578125" customWidth="1"/>
    <col min="8" max="8" width="5.140625" customWidth="1"/>
    <col min="9" max="9" width="9.42578125" customWidth="1"/>
    <col min="10" max="10" width="5.7109375" customWidth="1"/>
    <col min="11" max="11" width="9.42578125" customWidth="1"/>
    <col min="12" max="12" width="5.42578125" customWidth="1"/>
    <col min="13" max="13" width="9.42578125" customWidth="1"/>
    <col min="14" max="14" width="4.7109375" customWidth="1"/>
    <col min="15" max="15" width="7.28515625" customWidth="1"/>
    <col min="16" max="16" width="5.7109375" customWidth="1"/>
    <col min="17" max="18" width="9.42578125" customWidth="1"/>
    <col min="19" max="19" width="6.140625" customWidth="1"/>
    <col min="20" max="20" width="9.42578125" customWidth="1"/>
    <col min="21" max="21" width="14" bestFit="1" customWidth="1"/>
  </cols>
  <sheetData>
    <row r="1" spans="1:22">
      <c r="B1" s="1" t="s">
        <v>189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3" customHeight="1">
      <c r="A2" s="1" t="s">
        <v>180</v>
      </c>
      <c r="D2" s="1" t="s">
        <v>7</v>
      </c>
      <c r="E2" s="1"/>
      <c r="F2" s="1" t="s">
        <v>9</v>
      </c>
      <c r="G2" s="1"/>
      <c r="H2" s="1" t="s">
        <v>11</v>
      </c>
      <c r="I2" s="1"/>
      <c r="J2" s="1" t="s">
        <v>12</v>
      </c>
      <c r="K2" s="1"/>
      <c r="L2" s="1" t="s">
        <v>212</v>
      </c>
      <c r="M2" s="1"/>
      <c r="N2" s="1" t="s">
        <v>175</v>
      </c>
      <c r="O2" s="1"/>
      <c r="P2" s="1" t="s">
        <v>24</v>
      </c>
      <c r="Q2" s="1" t="s">
        <v>14</v>
      </c>
      <c r="R2" s="1" t="s">
        <v>190</v>
      </c>
      <c r="S2" s="1" t="s">
        <v>191</v>
      </c>
      <c r="T2" s="1"/>
      <c r="U2" s="1" t="s">
        <v>192</v>
      </c>
      <c r="V2" s="1"/>
    </row>
    <row r="3" spans="1:22" ht="71.25" customHeight="1">
      <c r="A3" s="1"/>
      <c r="D3" t="s">
        <v>8</v>
      </c>
      <c r="E3" t="s">
        <v>19</v>
      </c>
      <c r="F3" t="s">
        <v>8</v>
      </c>
      <c r="G3" t="s">
        <v>10</v>
      </c>
      <c r="H3" t="s">
        <v>8</v>
      </c>
      <c r="I3" t="s">
        <v>10</v>
      </c>
      <c r="J3" t="s">
        <v>8</v>
      </c>
      <c r="K3" t="s">
        <v>10</v>
      </c>
      <c r="L3" t="s">
        <v>8</v>
      </c>
      <c r="M3" t="s">
        <v>10</v>
      </c>
      <c r="N3" t="s">
        <v>8</v>
      </c>
      <c r="O3" t="s">
        <v>10</v>
      </c>
      <c r="P3" s="1"/>
      <c r="Q3" s="1"/>
      <c r="R3" s="1"/>
      <c r="S3" t="s">
        <v>8</v>
      </c>
      <c r="T3" t="s">
        <v>10</v>
      </c>
      <c r="U3" t="s">
        <v>8</v>
      </c>
      <c r="V3" t="s">
        <v>10</v>
      </c>
    </row>
    <row r="4" spans="1:22" ht="23.25" customHeight="1">
      <c r="A4" s="1"/>
      <c r="B4">
        <v>1</v>
      </c>
      <c r="C4" t="s">
        <v>0</v>
      </c>
      <c r="D4">
        <v>1</v>
      </c>
      <c r="E4">
        <f>D4/56</f>
        <v>1.7857142857142856E-2</v>
      </c>
      <c r="F4">
        <v>0</v>
      </c>
      <c r="G4">
        <f>F4/D4</f>
        <v>0</v>
      </c>
      <c r="H4">
        <v>1</v>
      </c>
      <c r="I4">
        <f>H4/D4</f>
        <v>1</v>
      </c>
      <c r="J4">
        <v>0</v>
      </c>
      <c r="K4">
        <f>J4/D4</f>
        <v>0</v>
      </c>
      <c r="L4">
        <v>0</v>
      </c>
      <c r="M4">
        <f>L4/D4</f>
        <v>0</v>
      </c>
      <c r="N4">
        <v>0</v>
      </c>
      <c r="O4">
        <f>N4/D4</f>
        <v>0</v>
      </c>
      <c r="P4">
        <f>(F4*5+H4*4+J4*3+N4*2)/D4</f>
        <v>4</v>
      </c>
      <c r="Q4">
        <f>28/D4</f>
        <v>28</v>
      </c>
      <c r="R4">
        <v>0.66</v>
      </c>
      <c r="S4">
        <v>0</v>
      </c>
      <c r="T4">
        <f>S4/D4</f>
        <v>0</v>
      </c>
      <c r="U4">
        <v>0</v>
      </c>
      <c r="V4">
        <f>U4/D4</f>
        <v>0</v>
      </c>
    </row>
    <row r="5" spans="1:22" ht="23.25" customHeight="1">
      <c r="A5" s="1"/>
      <c r="B5">
        <v>2</v>
      </c>
      <c r="C5" t="s">
        <v>1</v>
      </c>
      <c r="D5">
        <v>1</v>
      </c>
      <c r="E5">
        <f>D5/46</f>
        <v>2.1739130434782608E-2</v>
      </c>
      <c r="F5">
        <v>0</v>
      </c>
      <c r="G5">
        <f t="shared" ref="G5:G12" si="0">F5/D5</f>
        <v>0</v>
      </c>
      <c r="H5">
        <v>1</v>
      </c>
      <c r="I5">
        <f t="shared" ref="I5:I12" si="1">H5/D5</f>
        <v>1</v>
      </c>
      <c r="J5">
        <v>0</v>
      </c>
      <c r="K5">
        <f t="shared" ref="K5:K12" si="2">J5/D5</f>
        <v>0</v>
      </c>
      <c r="L5">
        <v>0</v>
      </c>
      <c r="M5">
        <v>0</v>
      </c>
      <c r="N5">
        <v>0</v>
      </c>
      <c r="O5">
        <f t="shared" ref="O5:O12" si="3">N5/D5</f>
        <v>0</v>
      </c>
      <c r="P5">
        <f>(F5*5+H5*4+J5*3+N5*2)/D5</f>
        <v>4</v>
      </c>
      <c r="Q5">
        <f>23/D5</f>
        <v>23</v>
      </c>
      <c r="R5">
        <v>0.54</v>
      </c>
      <c r="S5">
        <v>0</v>
      </c>
      <c r="T5">
        <f>S5/D5</f>
        <v>0</v>
      </c>
      <c r="U5">
        <v>0</v>
      </c>
      <c r="V5">
        <f t="shared" ref="V5:V12" si="4">U5/D5</f>
        <v>0</v>
      </c>
    </row>
    <row r="6" spans="1:22">
      <c r="A6" s="1"/>
      <c r="B6">
        <v>3</v>
      </c>
      <c r="C6" t="s">
        <v>2</v>
      </c>
      <c r="D6">
        <v>2</v>
      </c>
      <c r="E6">
        <f>D6/87</f>
        <v>2.2988505747126436E-2</v>
      </c>
      <c r="F6">
        <v>1</v>
      </c>
      <c r="G6">
        <f t="shared" si="0"/>
        <v>0.5</v>
      </c>
      <c r="H6">
        <v>1</v>
      </c>
      <c r="I6">
        <f t="shared" si="1"/>
        <v>0.5</v>
      </c>
      <c r="J6">
        <v>0</v>
      </c>
      <c r="K6">
        <f t="shared" si="2"/>
        <v>0</v>
      </c>
      <c r="L6">
        <v>0</v>
      </c>
      <c r="M6">
        <f t="shared" ref="M6:M12" si="5">L6/D6</f>
        <v>0</v>
      </c>
      <c r="N6">
        <v>0</v>
      </c>
      <c r="O6">
        <f t="shared" si="3"/>
        <v>0</v>
      </c>
      <c r="P6">
        <f>(F6*5+H6*4+J6*3+N6*2)/D6</f>
        <v>4.5</v>
      </c>
      <c r="Q6">
        <f>58/D6</f>
        <v>29</v>
      </c>
      <c r="R6">
        <f>Q6/42</f>
        <v>0.69047619047619047</v>
      </c>
      <c r="S6">
        <v>1</v>
      </c>
      <c r="T6">
        <f>S6/D6</f>
        <v>0.5</v>
      </c>
      <c r="U6">
        <v>0</v>
      </c>
      <c r="V6">
        <f t="shared" si="4"/>
        <v>0</v>
      </c>
    </row>
    <row r="7" spans="1:22">
      <c r="A7" s="1"/>
      <c r="B7">
        <v>4</v>
      </c>
      <c r="C7" t="s">
        <v>3</v>
      </c>
      <c r="D7">
        <v>1</v>
      </c>
      <c r="E7">
        <f>D7/69</f>
        <v>1.4492753623188406E-2</v>
      </c>
      <c r="F7">
        <v>0</v>
      </c>
      <c r="G7">
        <f t="shared" si="0"/>
        <v>0</v>
      </c>
      <c r="H7">
        <v>0</v>
      </c>
      <c r="I7">
        <f t="shared" si="1"/>
        <v>0</v>
      </c>
      <c r="J7">
        <v>1</v>
      </c>
      <c r="K7">
        <f t="shared" si="2"/>
        <v>1</v>
      </c>
      <c r="L7">
        <v>0</v>
      </c>
      <c r="M7">
        <f t="shared" si="5"/>
        <v>0</v>
      </c>
      <c r="N7">
        <v>0</v>
      </c>
      <c r="O7">
        <v>0</v>
      </c>
      <c r="P7">
        <f>(F7*5+H7*4+J7*3+N7*2)/D7</f>
        <v>3</v>
      </c>
      <c r="Q7">
        <f>13/D7</f>
        <v>13</v>
      </c>
      <c r="R7">
        <v>0.3</v>
      </c>
      <c r="S7">
        <v>0</v>
      </c>
      <c r="T7">
        <f>S7/D7</f>
        <v>0</v>
      </c>
      <c r="U7">
        <v>0</v>
      </c>
      <c r="V7">
        <f t="shared" si="4"/>
        <v>0</v>
      </c>
    </row>
    <row r="8" spans="1:22">
      <c r="A8" s="1"/>
      <c r="B8">
        <v>5</v>
      </c>
      <c r="C8" t="s">
        <v>4</v>
      </c>
      <c r="D8">
        <v>0</v>
      </c>
      <c r="E8">
        <f>D8/2</f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>
      <c r="A9" s="1"/>
      <c r="B9">
        <v>6</v>
      </c>
      <c r="C9" t="s">
        <v>5</v>
      </c>
      <c r="D9">
        <v>1</v>
      </c>
      <c r="E9">
        <f>D9/13</f>
        <v>7.6923076923076927E-2</v>
      </c>
      <c r="F9">
        <v>0</v>
      </c>
      <c r="G9">
        <f t="shared" si="0"/>
        <v>0</v>
      </c>
      <c r="H9">
        <v>0</v>
      </c>
      <c r="I9">
        <f t="shared" si="1"/>
        <v>0</v>
      </c>
      <c r="J9">
        <v>0</v>
      </c>
      <c r="K9">
        <f t="shared" si="2"/>
        <v>0</v>
      </c>
      <c r="L9">
        <v>1</v>
      </c>
      <c r="M9">
        <f t="shared" si="5"/>
        <v>1</v>
      </c>
      <c r="N9">
        <v>0</v>
      </c>
      <c r="O9">
        <f t="shared" si="3"/>
        <v>0</v>
      </c>
      <c r="P9">
        <v>2</v>
      </c>
      <c r="Q9">
        <v>9</v>
      </c>
      <c r="R9">
        <v>0.21</v>
      </c>
      <c r="S9">
        <v>0</v>
      </c>
      <c r="T9">
        <f>S9/D9</f>
        <v>0</v>
      </c>
      <c r="U9">
        <v>0</v>
      </c>
      <c r="V9">
        <f t="shared" si="4"/>
        <v>0</v>
      </c>
    </row>
    <row r="10" spans="1:22">
      <c r="A10" s="1"/>
      <c r="B10">
        <v>7</v>
      </c>
      <c r="C10" t="s">
        <v>16</v>
      </c>
      <c r="D10">
        <v>0</v>
      </c>
      <c r="E10">
        <f>D10/7</f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>
      <c r="A11" s="1"/>
      <c r="B11">
        <v>8</v>
      </c>
      <c r="C11" t="s">
        <v>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>
      <c r="A12" s="1"/>
      <c r="C12" t="s">
        <v>6</v>
      </c>
      <c r="D12">
        <f>SUM(D4:D11)</f>
        <v>6</v>
      </c>
      <c r="E12">
        <f>D12/283</f>
        <v>2.1201413427561839E-2</v>
      </c>
      <c r="F12">
        <f>SUM(F4:F11)</f>
        <v>1</v>
      </c>
      <c r="G12">
        <f t="shared" si="0"/>
        <v>0.16666666666666666</v>
      </c>
      <c r="H12">
        <f>SUM(H4:H11)</f>
        <v>3</v>
      </c>
      <c r="I12">
        <f t="shared" si="1"/>
        <v>0.5</v>
      </c>
      <c r="J12">
        <f>SUM(J4:J11)</f>
        <v>1</v>
      </c>
      <c r="K12">
        <f t="shared" si="2"/>
        <v>0.16666666666666666</v>
      </c>
      <c r="L12">
        <f>SUM(L4:L11)</f>
        <v>1</v>
      </c>
      <c r="M12">
        <f t="shared" si="5"/>
        <v>0.16666666666666666</v>
      </c>
      <c r="N12">
        <f>SUM(N4:N11)</f>
        <v>0</v>
      </c>
      <c r="O12">
        <f t="shared" si="3"/>
        <v>0</v>
      </c>
      <c r="P12">
        <v>3.66</v>
      </c>
      <c r="Q12">
        <v>21.83</v>
      </c>
      <c r="R12">
        <v>0.51</v>
      </c>
      <c r="S12">
        <f>SUM(S4:S11)</f>
        <v>1</v>
      </c>
      <c r="T12">
        <f>S12/D12</f>
        <v>0.16666666666666666</v>
      </c>
      <c r="U12">
        <f>SUM(U4:U11)</f>
        <v>0</v>
      </c>
      <c r="V12">
        <f t="shared" si="4"/>
        <v>0</v>
      </c>
    </row>
    <row r="13" spans="1:22">
      <c r="A13" s="1"/>
      <c r="C13" t="s">
        <v>21</v>
      </c>
    </row>
    <row r="14" spans="1:22">
      <c r="B14" s="1" t="s">
        <v>168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2">
      <c r="A15" s="1" t="s">
        <v>162</v>
      </c>
      <c r="D15" s="1" t="s">
        <v>7</v>
      </c>
      <c r="E15" s="1"/>
      <c r="F15" s="1" t="s">
        <v>9</v>
      </c>
      <c r="G15" s="1"/>
      <c r="H15" s="1" t="s">
        <v>11</v>
      </c>
      <c r="I15" s="1"/>
      <c r="J15" s="1" t="s">
        <v>12</v>
      </c>
      <c r="K15" s="1"/>
      <c r="L15" s="1" t="s">
        <v>15</v>
      </c>
      <c r="M15" s="1"/>
      <c r="N15" s="1" t="s">
        <v>175</v>
      </c>
      <c r="O15" s="1"/>
      <c r="P15" s="1" t="s">
        <v>24</v>
      </c>
      <c r="Q15" s="1" t="s">
        <v>14</v>
      </c>
      <c r="R15" s="1" t="s">
        <v>36</v>
      </c>
      <c r="S15" s="1" t="s">
        <v>125</v>
      </c>
      <c r="T15" s="1"/>
      <c r="U15" s="1" t="s">
        <v>156</v>
      </c>
      <c r="V15" s="1"/>
    </row>
    <row r="16" spans="1:22">
      <c r="A16" s="1"/>
      <c r="D16" t="s">
        <v>8</v>
      </c>
      <c r="E16" t="s">
        <v>19</v>
      </c>
      <c r="F16" t="s">
        <v>8</v>
      </c>
      <c r="G16" t="s">
        <v>10</v>
      </c>
      <c r="H16" t="s">
        <v>8</v>
      </c>
      <c r="I16" t="s">
        <v>10</v>
      </c>
      <c r="J16" t="s">
        <v>8</v>
      </c>
      <c r="K16" t="s">
        <v>10</v>
      </c>
      <c r="L16" t="s">
        <v>8</v>
      </c>
      <c r="M16" t="s">
        <v>10</v>
      </c>
      <c r="N16" t="s">
        <v>8</v>
      </c>
      <c r="O16" t="s">
        <v>10</v>
      </c>
      <c r="P16" s="1"/>
      <c r="Q16" s="1"/>
      <c r="R16" s="1"/>
      <c r="S16" t="s">
        <v>8</v>
      </c>
      <c r="T16" t="s">
        <v>10</v>
      </c>
      <c r="U16" t="s">
        <v>8</v>
      </c>
      <c r="V16" t="s">
        <v>10</v>
      </c>
    </row>
    <row r="17" spans="1:22">
      <c r="A17" s="1"/>
      <c r="B17">
        <v>1</v>
      </c>
      <c r="C17" t="s">
        <v>0</v>
      </c>
      <c r="D17">
        <v>1</v>
      </c>
      <c r="E17">
        <f>D17/43</f>
        <v>2.3255813953488372E-2</v>
      </c>
      <c r="F17">
        <v>1</v>
      </c>
      <c r="G17">
        <f>F17/D17</f>
        <v>1</v>
      </c>
      <c r="H17">
        <v>0</v>
      </c>
      <c r="I17">
        <f>H17/D17</f>
        <v>0</v>
      </c>
      <c r="J17">
        <v>0</v>
      </c>
      <c r="K17">
        <f>J17/D17</f>
        <v>0</v>
      </c>
      <c r="L17">
        <v>0</v>
      </c>
      <c r="M17">
        <f>L17/D17</f>
        <v>0</v>
      </c>
      <c r="O17">
        <f>N17/D17</f>
        <v>0</v>
      </c>
      <c r="P17">
        <f>(F17*5+H17*4+J17*3+N17*2)/D17</f>
        <v>5</v>
      </c>
      <c r="Q17">
        <f>38/D17</f>
        <v>38</v>
      </c>
      <c r="R17">
        <f>Q17/40</f>
        <v>0.95</v>
      </c>
      <c r="S17">
        <v>1</v>
      </c>
      <c r="T17">
        <f>S17/D17</f>
        <v>1</v>
      </c>
      <c r="U17">
        <v>0</v>
      </c>
      <c r="V17">
        <f>U17/D17</f>
        <v>0</v>
      </c>
    </row>
    <row r="18" spans="1:22">
      <c r="A18" s="1"/>
      <c r="B18">
        <v>2</v>
      </c>
      <c r="C18" t="s">
        <v>1</v>
      </c>
      <c r="D18">
        <v>1</v>
      </c>
      <c r="E18">
        <f>D18/40</f>
        <v>2.5000000000000001E-2</v>
      </c>
      <c r="F18">
        <v>1</v>
      </c>
      <c r="G18">
        <f t="shared" ref="G18:G25" si="6">F18/D18</f>
        <v>1</v>
      </c>
      <c r="H18">
        <v>0</v>
      </c>
      <c r="I18">
        <f t="shared" ref="I18:I25" si="7">H18/D18</f>
        <v>0</v>
      </c>
      <c r="J18">
        <v>0</v>
      </c>
      <c r="K18">
        <f t="shared" ref="K18:K25" si="8">J18/D18</f>
        <v>0</v>
      </c>
      <c r="L18">
        <v>0</v>
      </c>
      <c r="M18">
        <f t="shared" ref="M18:M25" si="9">L18/D18</f>
        <v>0</v>
      </c>
      <c r="O18">
        <f t="shared" ref="O18:O25" si="10">N18/D18</f>
        <v>0</v>
      </c>
      <c r="P18">
        <f t="shared" ref="P18:P25" si="11">(F18*5+H18*4+J18*3+N18*2)/D18</f>
        <v>5</v>
      </c>
      <c r="Q18">
        <f>31/D18</f>
        <v>31</v>
      </c>
      <c r="R18">
        <f>Q18/40</f>
        <v>0.77500000000000002</v>
      </c>
      <c r="S18">
        <v>0</v>
      </c>
      <c r="T18">
        <f t="shared" ref="T18:T25" si="12">S18/D18</f>
        <v>0</v>
      </c>
      <c r="U18">
        <v>0</v>
      </c>
      <c r="V18">
        <f t="shared" ref="V18:V25" si="13">U18/D18</f>
        <v>0</v>
      </c>
    </row>
    <row r="19" spans="1:22">
      <c r="A19" s="1"/>
      <c r="B19">
        <v>3</v>
      </c>
      <c r="C19" t="s">
        <v>2</v>
      </c>
      <c r="D19">
        <v>14</v>
      </c>
      <c r="E19">
        <f>D19/101</f>
        <v>0.13861386138613863</v>
      </c>
      <c r="F19">
        <v>1</v>
      </c>
      <c r="G19">
        <f t="shared" si="6"/>
        <v>7.1428571428571425E-2</v>
      </c>
      <c r="H19">
        <v>9</v>
      </c>
      <c r="I19">
        <f t="shared" si="7"/>
        <v>0.6428571428571429</v>
      </c>
      <c r="J19">
        <v>4</v>
      </c>
      <c r="K19">
        <f t="shared" si="8"/>
        <v>0.2857142857142857</v>
      </c>
      <c r="L19">
        <v>0</v>
      </c>
      <c r="M19">
        <f t="shared" si="9"/>
        <v>0</v>
      </c>
      <c r="O19">
        <f t="shared" si="10"/>
        <v>0</v>
      </c>
      <c r="P19">
        <f t="shared" si="11"/>
        <v>3.7857142857142856</v>
      </c>
      <c r="Q19">
        <f>318/D19</f>
        <v>22.714285714285715</v>
      </c>
      <c r="R19">
        <f>Q19/40</f>
        <v>0.56785714285714284</v>
      </c>
      <c r="S19">
        <v>0</v>
      </c>
      <c r="T19">
        <f t="shared" si="12"/>
        <v>0</v>
      </c>
      <c r="U19">
        <v>0</v>
      </c>
      <c r="V19">
        <f t="shared" si="13"/>
        <v>0</v>
      </c>
    </row>
    <row r="20" spans="1:22">
      <c r="A20" s="1"/>
      <c r="B20">
        <v>4</v>
      </c>
      <c r="C20" t="s">
        <v>3</v>
      </c>
      <c r="D20">
        <v>3</v>
      </c>
      <c r="E20">
        <f>D20/46</f>
        <v>6.5217391304347824E-2</v>
      </c>
      <c r="F20">
        <v>0</v>
      </c>
      <c r="G20">
        <f t="shared" si="6"/>
        <v>0</v>
      </c>
      <c r="H20">
        <v>0</v>
      </c>
      <c r="I20">
        <f t="shared" si="7"/>
        <v>0</v>
      </c>
      <c r="J20">
        <v>2</v>
      </c>
      <c r="K20">
        <f t="shared" si="8"/>
        <v>0.66666666666666663</v>
      </c>
      <c r="L20">
        <v>1</v>
      </c>
      <c r="M20">
        <f t="shared" si="9"/>
        <v>0.33333333333333331</v>
      </c>
      <c r="N20">
        <v>1</v>
      </c>
      <c r="O20">
        <f t="shared" si="10"/>
        <v>0.33333333333333331</v>
      </c>
      <c r="P20">
        <f t="shared" si="11"/>
        <v>2.6666666666666665</v>
      </c>
      <c r="Q20">
        <f>(38-7+8)/D20</f>
        <v>13</v>
      </c>
      <c r="R20">
        <f>Q20/40</f>
        <v>0.32500000000000001</v>
      </c>
      <c r="S20">
        <v>0</v>
      </c>
      <c r="T20">
        <f t="shared" si="12"/>
        <v>0</v>
      </c>
      <c r="U20">
        <v>0</v>
      </c>
      <c r="V20">
        <f t="shared" si="13"/>
        <v>0</v>
      </c>
    </row>
    <row r="21" spans="1:22">
      <c r="A21" s="1"/>
      <c r="B21">
        <v>5</v>
      </c>
      <c r="C21" t="s">
        <v>4</v>
      </c>
      <c r="E21">
        <f>D21/2</f>
        <v>0</v>
      </c>
      <c r="G21" t="e">
        <f t="shared" si="6"/>
        <v>#DIV/0!</v>
      </c>
      <c r="I21" t="e">
        <f t="shared" si="7"/>
        <v>#DIV/0!</v>
      </c>
      <c r="K21" t="e">
        <f t="shared" si="8"/>
        <v>#DIV/0!</v>
      </c>
      <c r="M21" t="e">
        <f t="shared" si="9"/>
        <v>#DIV/0!</v>
      </c>
      <c r="O21" t="e">
        <f t="shared" si="10"/>
        <v>#DIV/0!</v>
      </c>
      <c r="P21" t="e">
        <f t="shared" si="11"/>
        <v>#DIV/0!</v>
      </c>
      <c r="T21" t="e">
        <f t="shared" si="12"/>
        <v>#DIV/0!</v>
      </c>
      <c r="V21" t="e">
        <f t="shared" si="13"/>
        <v>#DIV/0!</v>
      </c>
    </row>
    <row r="22" spans="1:22">
      <c r="A22" s="1"/>
      <c r="B22">
        <v>6</v>
      </c>
      <c r="C22" t="s">
        <v>5</v>
      </c>
      <c r="E22">
        <f>D22/11</f>
        <v>0</v>
      </c>
      <c r="F22">
        <v>0</v>
      </c>
      <c r="G22" t="e">
        <f t="shared" si="6"/>
        <v>#DIV/0!</v>
      </c>
      <c r="H22">
        <v>0</v>
      </c>
      <c r="I22" t="e">
        <f t="shared" si="7"/>
        <v>#DIV/0!</v>
      </c>
      <c r="J22">
        <v>0</v>
      </c>
      <c r="K22" t="e">
        <f t="shared" si="8"/>
        <v>#DIV/0!</v>
      </c>
      <c r="L22">
        <v>0</v>
      </c>
      <c r="M22" t="e">
        <f t="shared" si="9"/>
        <v>#DIV/0!</v>
      </c>
      <c r="O22" t="e">
        <f t="shared" si="10"/>
        <v>#DIV/0!</v>
      </c>
      <c r="P22" t="e">
        <f t="shared" si="11"/>
        <v>#DIV/0!</v>
      </c>
      <c r="Q22">
        <v>0</v>
      </c>
      <c r="R22">
        <v>0</v>
      </c>
      <c r="T22" t="e">
        <f t="shared" si="12"/>
        <v>#DIV/0!</v>
      </c>
      <c r="U22">
        <v>0</v>
      </c>
      <c r="V22" t="e">
        <f t="shared" si="13"/>
        <v>#DIV/0!</v>
      </c>
    </row>
    <row r="23" spans="1:22">
      <c r="A23" s="1"/>
      <c r="B23">
        <v>7</v>
      </c>
      <c r="C23" t="s">
        <v>16</v>
      </c>
      <c r="E23">
        <f>D23/7</f>
        <v>0</v>
      </c>
      <c r="G23" t="e">
        <f t="shared" si="6"/>
        <v>#DIV/0!</v>
      </c>
      <c r="I23" t="e">
        <f t="shared" si="7"/>
        <v>#DIV/0!</v>
      </c>
      <c r="K23" t="e">
        <f t="shared" si="8"/>
        <v>#DIV/0!</v>
      </c>
      <c r="M23" t="e">
        <f t="shared" si="9"/>
        <v>#DIV/0!</v>
      </c>
      <c r="O23" t="e">
        <f t="shared" si="10"/>
        <v>#DIV/0!</v>
      </c>
      <c r="P23" t="e">
        <f t="shared" si="11"/>
        <v>#DIV/0!</v>
      </c>
      <c r="T23" t="e">
        <f t="shared" si="12"/>
        <v>#DIV/0!</v>
      </c>
      <c r="V23" t="e">
        <f t="shared" si="13"/>
        <v>#DIV/0!</v>
      </c>
    </row>
    <row r="24" spans="1:22">
      <c r="A24" s="1"/>
      <c r="B24">
        <v>8</v>
      </c>
      <c r="C24" t="s">
        <v>17</v>
      </c>
      <c r="E24">
        <f>D24/3</f>
        <v>0</v>
      </c>
      <c r="G24" t="e">
        <f t="shared" si="6"/>
        <v>#DIV/0!</v>
      </c>
      <c r="I24" t="e">
        <f t="shared" si="7"/>
        <v>#DIV/0!</v>
      </c>
      <c r="K24" t="e">
        <f t="shared" si="8"/>
        <v>#DIV/0!</v>
      </c>
      <c r="M24" t="e">
        <f t="shared" si="9"/>
        <v>#DIV/0!</v>
      </c>
      <c r="O24" t="e">
        <f t="shared" si="10"/>
        <v>#DIV/0!</v>
      </c>
      <c r="P24" t="e">
        <f t="shared" si="11"/>
        <v>#DIV/0!</v>
      </c>
      <c r="S24">
        <v>0</v>
      </c>
      <c r="T24" t="e">
        <f t="shared" si="12"/>
        <v>#DIV/0!</v>
      </c>
      <c r="V24" t="e">
        <f t="shared" si="13"/>
        <v>#DIV/0!</v>
      </c>
    </row>
    <row r="25" spans="1:22">
      <c r="A25" s="1"/>
      <c r="C25" t="s">
        <v>6</v>
      </c>
      <c r="D25">
        <f>SUM(D17:D24)</f>
        <v>19</v>
      </c>
      <c r="E25">
        <f>D25/257</f>
        <v>7.3929961089494164E-2</v>
      </c>
      <c r="F25">
        <f>SUM(F17:F24)</f>
        <v>3</v>
      </c>
      <c r="G25">
        <f t="shared" si="6"/>
        <v>0.15789473684210525</v>
      </c>
      <c r="H25">
        <f>SUM(H17:H24)</f>
        <v>9</v>
      </c>
      <c r="I25">
        <f t="shared" si="7"/>
        <v>0.47368421052631576</v>
      </c>
      <c r="J25">
        <f>SUM(J17:J24)</f>
        <v>6</v>
      </c>
      <c r="K25">
        <f t="shared" si="8"/>
        <v>0.31578947368421051</v>
      </c>
      <c r="L25">
        <f>SUM(L17:L24)</f>
        <v>1</v>
      </c>
      <c r="M25">
        <f t="shared" si="9"/>
        <v>5.2631578947368418E-2</v>
      </c>
      <c r="N25">
        <f>SUM(N17:N24)</f>
        <v>1</v>
      </c>
      <c r="O25">
        <f t="shared" si="10"/>
        <v>5.2631578947368418E-2</v>
      </c>
      <c r="P25">
        <f t="shared" si="11"/>
        <v>3.736842105263158</v>
      </c>
      <c r="Q25">
        <f>(425-7+8)/D25</f>
        <v>22.421052631578949</v>
      </c>
      <c r="R25">
        <f>425/(D25*42)</f>
        <v>0.53258145363408527</v>
      </c>
      <c r="S25">
        <f>SUM(S17:S24)</f>
        <v>1</v>
      </c>
      <c r="T25">
        <f t="shared" si="12"/>
        <v>5.2631578947368418E-2</v>
      </c>
      <c r="U25">
        <f>SUM(U17:U24)</f>
        <v>0</v>
      </c>
      <c r="V25">
        <f t="shared" si="13"/>
        <v>0</v>
      </c>
    </row>
    <row r="26" spans="1:22">
      <c r="A26" s="1"/>
      <c r="C26" t="s">
        <v>21</v>
      </c>
      <c r="O26">
        <v>4.0199999999999996</v>
      </c>
      <c r="P26">
        <v>3.6</v>
      </c>
      <c r="Q26">
        <v>20.84</v>
      </c>
    </row>
    <row r="28" spans="1:22">
      <c r="B28" s="1" t="s">
        <v>142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2">
      <c r="A29" s="1" t="s">
        <v>137</v>
      </c>
      <c r="D29" s="1" t="s">
        <v>7</v>
      </c>
      <c r="E29" s="1"/>
      <c r="F29" s="1" t="s">
        <v>9</v>
      </c>
      <c r="G29" s="1"/>
      <c r="H29" s="1" t="s">
        <v>11</v>
      </c>
      <c r="I29" s="1"/>
      <c r="J29" s="1" t="s">
        <v>12</v>
      </c>
      <c r="K29" s="1"/>
      <c r="L29" s="1" t="s">
        <v>15</v>
      </c>
      <c r="M29" s="1"/>
      <c r="P29" s="1" t="s">
        <v>24</v>
      </c>
      <c r="Q29" s="1" t="s">
        <v>14</v>
      </c>
      <c r="R29" s="1" t="s">
        <v>36</v>
      </c>
      <c r="S29" s="1" t="s">
        <v>125</v>
      </c>
      <c r="T29" s="1"/>
      <c r="U29" s="1" t="s">
        <v>156</v>
      </c>
      <c r="V29" s="1"/>
    </row>
    <row r="30" spans="1:22">
      <c r="A30" s="1"/>
      <c r="D30" t="s">
        <v>8</v>
      </c>
      <c r="E30" t="s">
        <v>19</v>
      </c>
      <c r="F30" t="s">
        <v>8</v>
      </c>
      <c r="G30" t="s">
        <v>10</v>
      </c>
      <c r="H30" t="s">
        <v>8</v>
      </c>
      <c r="I30" t="s">
        <v>10</v>
      </c>
      <c r="J30" t="s">
        <v>8</v>
      </c>
      <c r="K30" t="s">
        <v>10</v>
      </c>
      <c r="L30" t="s">
        <v>8</v>
      </c>
      <c r="M30" t="s">
        <v>10</v>
      </c>
      <c r="P30" s="1"/>
      <c r="Q30" s="1"/>
      <c r="R30" s="1"/>
      <c r="S30" t="s">
        <v>8</v>
      </c>
      <c r="T30" t="s">
        <v>10</v>
      </c>
      <c r="U30" t="s">
        <v>8</v>
      </c>
      <c r="V30" t="s">
        <v>10</v>
      </c>
    </row>
    <row r="31" spans="1:22">
      <c r="A31" s="1"/>
      <c r="B31">
        <v>1</v>
      </c>
      <c r="C31" t="s">
        <v>0</v>
      </c>
      <c r="D31">
        <v>15</v>
      </c>
      <c r="E31">
        <f>D31/51</f>
        <v>0.29411764705882354</v>
      </c>
      <c r="F31">
        <v>4</v>
      </c>
      <c r="G31">
        <f>F31/D31</f>
        <v>0.26666666666666666</v>
      </c>
      <c r="H31">
        <v>11</v>
      </c>
      <c r="I31">
        <f>H31/D31</f>
        <v>0.73333333333333328</v>
      </c>
      <c r="J31">
        <v>0</v>
      </c>
      <c r="K31">
        <f>J31/D31</f>
        <v>0</v>
      </c>
      <c r="L31">
        <v>0</v>
      </c>
      <c r="M31">
        <f>L31/D31</f>
        <v>0</v>
      </c>
      <c r="P31">
        <f>(F31*5+H31*4+J31*3+L31*2)/D31</f>
        <v>4.2666666666666666</v>
      </c>
      <c r="Q31">
        <f>406/D31</f>
        <v>27.066666666666666</v>
      </c>
      <c r="R31">
        <f>Q31/40</f>
        <v>0.67666666666666664</v>
      </c>
      <c r="S31">
        <v>0</v>
      </c>
      <c r="T31">
        <f>S31/D31</f>
        <v>0</v>
      </c>
      <c r="U31">
        <v>0</v>
      </c>
      <c r="V31">
        <f>U31/D31</f>
        <v>0</v>
      </c>
    </row>
    <row r="32" spans="1:22">
      <c r="A32" s="1"/>
      <c r="B32">
        <v>2</v>
      </c>
      <c r="C32" t="s">
        <v>1</v>
      </c>
      <c r="D32">
        <v>2</v>
      </c>
      <c r="E32">
        <f>D32/35</f>
        <v>5.7142857142857141E-2</v>
      </c>
      <c r="F32">
        <v>0</v>
      </c>
      <c r="G32">
        <f t="shared" ref="G32:G39" si="14">F32/D32</f>
        <v>0</v>
      </c>
      <c r="H32">
        <v>1</v>
      </c>
      <c r="I32">
        <f t="shared" ref="I32:I39" si="15">H32/D32</f>
        <v>0.5</v>
      </c>
      <c r="J32">
        <v>1</v>
      </c>
      <c r="K32">
        <f t="shared" ref="K32:K39" si="16">J32/D32</f>
        <v>0.5</v>
      </c>
      <c r="L32">
        <v>0</v>
      </c>
      <c r="M32">
        <f t="shared" ref="M32:M39" si="17">L32/D32</f>
        <v>0</v>
      </c>
      <c r="P32">
        <f>(F32*5+H32*4+J32*3+L32*2)/D32</f>
        <v>3.5</v>
      </c>
      <c r="Q32">
        <f>46/D32</f>
        <v>23</v>
      </c>
      <c r="R32">
        <f>Q32/40</f>
        <v>0.57499999999999996</v>
      </c>
      <c r="S32">
        <v>0</v>
      </c>
      <c r="T32">
        <f t="shared" ref="T32:T39" si="18">S32/D32</f>
        <v>0</v>
      </c>
      <c r="U32">
        <v>0</v>
      </c>
      <c r="V32">
        <f t="shared" ref="V32:V39" si="19">U32/D32</f>
        <v>0</v>
      </c>
    </row>
    <row r="33" spans="1:22">
      <c r="A33" s="1"/>
      <c r="B33">
        <v>3</v>
      </c>
      <c r="C33" t="s">
        <v>2</v>
      </c>
      <c r="D33">
        <v>24</v>
      </c>
      <c r="E33">
        <f>D33/97</f>
        <v>0.24742268041237114</v>
      </c>
      <c r="F33">
        <v>2</v>
      </c>
      <c r="G33">
        <f t="shared" si="14"/>
        <v>8.3333333333333329E-2</v>
      </c>
      <c r="H33">
        <v>13</v>
      </c>
      <c r="I33">
        <f t="shared" si="15"/>
        <v>0.54166666666666663</v>
      </c>
      <c r="J33">
        <v>9</v>
      </c>
      <c r="K33">
        <f t="shared" si="16"/>
        <v>0.375</v>
      </c>
      <c r="L33">
        <v>0</v>
      </c>
      <c r="M33">
        <f t="shared" si="17"/>
        <v>0</v>
      </c>
      <c r="P33">
        <f>(F33*5+H33*4+J33*3+L33*2)/D33</f>
        <v>3.7083333333333335</v>
      </c>
      <c r="Q33">
        <f>529/D33</f>
        <v>22.041666666666668</v>
      </c>
      <c r="R33">
        <f>Q33/40</f>
        <v>0.55104166666666665</v>
      </c>
      <c r="S33">
        <v>0</v>
      </c>
      <c r="T33">
        <f t="shared" si="18"/>
        <v>0</v>
      </c>
      <c r="U33">
        <v>0</v>
      </c>
      <c r="V33">
        <f t="shared" si="19"/>
        <v>0</v>
      </c>
    </row>
    <row r="34" spans="1:22">
      <c r="A34" s="1"/>
      <c r="B34">
        <v>4</v>
      </c>
      <c r="C34" t="s">
        <v>3</v>
      </c>
      <c r="D34">
        <v>2</v>
      </c>
      <c r="E34">
        <f>D34/52</f>
        <v>3.8461538461538464E-2</v>
      </c>
      <c r="F34">
        <v>0</v>
      </c>
      <c r="G34">
        <f t="shared" si="14"/>
        <v>0</v>
      </c>
      <c r="H34">
        <v>1</v>
      </c>
      <c r="I34">
        <f t="shared" si="15"/>
        <v>0.5</v>
      </c>
      <c r="J34">
        <v>1</v>
      </c>
      <c r="K34">
        <f t="shared" si="16"/>
        <v>0.5</v>
      </c>
      <c r="L34">
        <v>0</v>
      </c>
      <c r="M34">
        <f t="shared" si="17"/>
        <v>0</v>
      </c>
      <c r="P34">
        <f>(F34*5+H34*4+J34*3+L34*2)/D34</f>
        <v>3.5</v>
      </c>
      <c r="Q34">
        <f>43/D34</f>
        <v>21.5</v>
      </c>
      <c r="R34">
        <f>Q34/40</f>
        <v>0.53749999999999998</v>
      </c>
      <c r="S34">
        <v>0</v>
      </c>
      <c r="T34">
        <f t="shared" si="18"/>
        <v>0</v>
      </c>
      <c r="U34">
        <v>0</v>
      </c>
      <c r="V34">
        <f t="shared" si="19"/>
        <v>0</v>
      </c>
    </row>
    <row r="35" spans="1:22">
      <c r="A35" s="1"/>
      <c r="B35">
        <v>5</v>
      </c>
      <c r="C35" t="s">
        <v>4</v>
      </c>
      <c r="E35">
        <f>D35/2</f>
        <v>0</v>
      </c>
      <c r="G35" t="e">
        <f t="shared" si="14"/>
        <v>#DIV/0!</v>
      </c>
      <c r="I35" t="e">
        <f t="shared" si="15"/>
        <v>#DIV/0!</v>
      </c>
      <c r="K35" t="e">
        <f t="shared" si="16"/>
        <v>#DIV/0!</v>
      </c>
      <c r="M35" t="e">
        <f t="shared" si="17"/>
        <v>#DIV/0!</v>
      </c>
      <c r="T35" t="e">
        <f t="shared" si="18"/>
        <v>#DIV/0!</v>
      </c>
      <c r="V35" t="e">
        <f t="shared" si="19"/>
        <v>#DIV/0!</v>
      </c>
    </row>
    <row r="36" spans="1:22">
      <c r="A36" s="1"/>
      <c r="B36">
        <v>6</v>
      </c>
      <c r="C36" t="s">
        <v>5</v>
      </c>
      <c r="D36">
        <v>0</v>
      </c>
      <c r="E36">
        <f>D36/11</f>
        <v>0</v>
      </c>
      <c r="F36">
        <v>0</v>
      </c>
      <c r="G36" t="e">
        <f t="shared" si="14"/>
        <v>#DIV/0!</v>
      </c>
      <c r="H36">
        <v>0</v>
      </c>
      <c r="I36" t="e">
        <f t="shared" si="15"/>
        <v>#DIV/0!</v>
      </c>
      <c r="J36">
        <v>0</v>
      </c>
      <c r="K36" t="e">
        <f t="shared" si="16"/>
        <v>#DIV/0!</v>
      </c>
      <c r="L36">
        <v>0</v>
      </c>
      <c r="M36" t="e">
        <f t="shared" si="17"/>
        <v>#DIV/0!</v>
      </c>
      <c r="P36">
        <v>0</v>
      </c>
      <c r="Q36">
        <v>0</v>
      </c>
      <c r="R36">
        <v>0</v>
      </c>
      <c r="T36" t="e">
        <f t="shared" si="18"/>
        <v>#DIV/0!</v>
      </c>
      <c r="U36">
        <v>0</v>
      </c>
      <c r="V36" t="e">
        <f t="shared" si="19"/>
        <v>#DIV/0!</v>
      </c>
    </row>
    <row r="37" spans="1:22">
      <c r="A37" s="1"/>
      <c r="B37">
        <v>7</v>
      </c>
      <c r="C37" t="s">
        <v>16</v>
      </c>
      <c r="E37">
        <f>D37/7</f>
        <v>0</v>
      </c>
      <c r="G37" t="e">
        <f t="shared" si="14"/>
        <v>#DIV/0!</v>
      </c>
      <c r="I37" t="e">
        <f t="shared" si="15"/>
        <v>#DIV/0!</v>
      </c>
      <c r="K37" t="e">
        <f t="shared" si="16"/>
        <v>#DIV/0!</v>
      </c>
      <c r="M37" t="e">
        <f t="shared" si="17"/>
        <v>#DIV/0!</v>
      </c>
      <c r="T37" t="e">
        <f t="shared" si="18"/>
        <v>#DIV/0!</v>
      </c>
      <c r="V37" t="e">
        <f t="shared" si="19"/>
        <v>#DIV/0!</v>
      </c>
    </row>
    <row r="38" spans="1:22">
      <c r="A38" s="1"/>
      <c r="B38">
        <v>8</v>
      </c>
      <c r="C38" t="s">
        <v>17</v>
      </c>
      <c r="E38">
        <f>D38/3</f>
        <v>0</v>
      </c>
      <c r="G38" t="e">
        <f t="shared" si="14"/>
        <v>#DIV/0!</v>
      </c>
      <c r="I38" t="e">
        <f t="shared" si="15"/>
        <v>#DIV/0!</v>
      </c>
      <c r="K38" t="e">
        <f t="shared" si="16"/>
        <v>#DIV/0!</v>
      </c>
      <c r="M38" t="e">
        <f t="shared" si="17"/>
        <v>#DIV/0!</v>
      </c>
      <c r="S38">
        <v>0</v>
      </c>
      <c r="T38" t="e">
        <f t="shared" si="18"/>
        <v>#DIV/0!</v>
      </c>
      <c r="V38" t="e">
        <f t="shared" si="19"/>
        <v>#DIV/0!</v>
      </c>
    </row>
    <row r="39" spans="1:22">
      <c r="A39" s="1"/>
      <c r="C39" t="s">
        <v>6</v>
      </c>
      <c r="D39">
        <f>SUM(D31:D38)</f>
        <v>43</v>
      </c>
      <c r="E39">
        <f>D39/260</f>
        <v>0.16538461538461538</v>
      </c>
      <c r="F39">
        <f>SUM(F31:F38)</f>
        <v>6</v>
      </c>
      <c r="G39">
        <f t="shared" si="14"/>
        <v>0.13953488372093023</v>
      </c>
      <c r="H39">
        <f>SUM(H31:H38)</f>
        <v>26</v>
      </c>
      <c r="I39">
        <f t="shared" si="15"/>
        <v>0.60465116279069764</v>
      </c>
      <c r="J39">
        <f>SUM(J31:J38)</f>
        <v>11</v>
      </c>
      <c r="K39">
        <f t="shared" si="16"/>
        <v>0.2558139534883721</v>
      </c>
      <c r="L39">
        <f>SUM(L31:L38)</f>
        <v>0</v>
      </c>
      <c r="M39">
        <f t="shared" si="17"/>
        <v>0</v>
      </c>
      <c r="P39">
        <v>3.9</v>
      </c>
      <c r="Q39">
        <f>1024/D39</f>
        <v>23.813953488372093</v>
      </c>
      <c r="R39">
        <f>1024/(40*42)</f>
        <v>0.60952380952380958</v>
      </c>
      <c r="S39">
        <f>SUM(S31:S38)</f>
        <v>0</v>
      </c>
      <c r="T39">
        <f t="shared" si="18"/>
        <v>0</v>
      </c>
      <c r="U39">
        <f>SUM(U31:U38)</f>
        <v>0</v>
      </c>
      <c r="V39">
        <f t="shared" si="19"/>
        <v>0</v>
      </c>
    </row>
    <row r="40" spans="1:22">
      <c r="A40" s="1"/>
      <c r="C40" t="s">
        <v>21</v>
      </c>
    </row>
    <row r="41" spans="1:22">
      <c r="A41" s="1" t="s">
        <v>135</v>
      </c>
      <c r="D41" s="1" t="s">
        <v>7</v>
      </c>
      <c r="E41" s="1"/>
      <c r="F41" s="1" t="s">
        <v>9</v>
      </c>
      <c r="G41" s="1"/>
      <c r="H41" s="1" t="s">
        <v>11</v>
      </c>
      <c r="I41" s="1"/>
      <c r="J41" s="1" t="s">
        <v>12</v>
      </c>
      <c r="K41" s="1"/>
      <c r="L41" s="1" t="s">
        <v>15</v>
      </c>
      <c r="M41" s="1"/>
      <c r="P41" s="1" t="s">
        <v>24</v>
      </c>
      <c r="Q41" s="1" t="s">
        <v>14</v>
      </c>
      <c r="R41" s="1" t="s">
        <v>36</v>
      </c>
      <c r="S41" s="1" t="s">
        <v>125</v>
      </c>
      <c r="T41" s="1"/>
      <c r="U41" s="1" t="s">
        <v>42</v>
      </c>
      <c r="V41" s="1"/>
    </row>
    <row r="42" spans="1:22">
      <c r="A42" s="1"/>
      <c r="D42" t="s">
        <v>8</v>
      </c>
      <c r="E42" t="s">
        <v>19</v>
      </c>
      <c r="F42" t="s">
        <v>8</v>
      </c>
      <c r="G42" t="s">
        <v>10</v>
      </c>
      <c r="H42" t="s">
        <v>8</v>
      </c>
      <c r="I42" t="s">
        <v>10</v>
      </c>
      <c r="J42" t="s">
        <v>8</v>
      </c>
      <c r="K42" t="s">
        <v>10</v>
      </c>
      <c r="L42" t="s">
        <v>8</v>
      </c>
      <c r="M42" t="s">
        <v>10</v>
      </c>
      <c r="P42" s="1"/>
      <c r="Q42" s="1"/>
      <c r="R42" s="1"/>
      <c r="S42" t="s">
        <v>8</v>
      </c>
      <c r="T42" t="s">
        <v>10</v>
      </c>
      <c r="U42" t="s">
        <v>8</v>
      </c>
      <c r="V42" t="s">
        <v>10</v>
      </c>
    </row>
    <row r="43" spans="1:22">
      <c r="A43" s="1"/>
      <c r="B43">
        <v>1</v>
      </c>
      <c r="C43" t="s">
        <v>0</v>
      </c>
      <c r="D43">
        <v>16</v>
      </c>
      <c r="E43">
        <f>D43/53</f>
        <v>0.30188679245283018</v>
      </c>
      <c r="F43">
        <v>7</v>
      </c>
      <c r="G43">
        <f>F43/D43</f>
        <v>0.4375</v>
      </c>
      <c r="H43">
        <v>7</v>
      </c>
      <c r="I43">
        <f>H43/D43</f>
        <v>0.4375</v>
      </c>
      <c r="J43">
        <v>2</v>
      </c>
      <c r="K43">
        <f>J43/D43</f>
        <v>0.125</v>
      </c>
      <c r="L43">
        <v>0</v>
      </c>
      <c r="M43">
        <f>L43/D43</f>
        <v>0</v>
      </c>
      <c r="P43">
        <f>(F43*5+H43*4+J43*3+L43*2)/D43</f>
        <v>4.3125</v>
      </c>
      <c r="Q43">
        <f>(31+30+29+25+23+29+37+24+31+36+37+36+33+26+17+17)/D43</f>
        <v>28.8125</v>
      </c>
      <c r="R43">
        <f>Q43/40</f>
        <v>0.72031250000000002</v>
      </c>
      <c r="S43">
        <v>0</v>
      </c>
      <c r="T43">
        <f>S43/D43</f>
        <v>0</v>
      </c>
      <c r="U43">
        <v>0</v>
      </c>
      <c r="V43">
        <f>U43/D43</f>
        <v>0</v>
      </c>
    </row>
    <row r="44" spans="1:22">
      <c r="A44" s="1"/>
      <c r="B44">
        <v>2</v>
      </c>
      <c r="C44" t="s">
        <v>1</v>
      </c>
      <c r="D44">
        <v>4</v>
      </c>
      <c r="E44">
        <f>D44/45</f>
        <v>8.8888888888888892E-2</v>
      </c>
      <c r="F44">
        <v>0</v>
      </c>
      <c r="G44">
        <f t="shared" ref="G44:G51" si="20">F44/D44</f>
        <v>0</v>
      </c>
      <c r="H44">
        <v>2</v>
      </c>
      <c r="I44">
        <f t="shared" ref="I44:I51" si="21">H44/D44</f>
        <v>0.5</v>
      </c>
      <c r="J44">
        <v>2</v>
      </c>
      <c r="K44">
        <f t="shared" ref="K44:K51" si="22">J44/D44</f>
        <v>0.5</v>
      </c>
      <c r="L44">
        <v>0</v>
      </c>
      <c r="M44">
        <f t="shared" ref="M44:M51" si="23">L44/D44</f>
        <v>0</v>
      </c>
      <c r="P44">
        <f>(F44*5+H44*4+J44*3+L44*2)/D44</f>
        <v>3.5</v>
      </c>
      <c r="Q44">
        <f>(27+20+17+19)/D44</f>
        <v>20.75</v>
      </c>
      <c r="R44">
        <f>Q44/40</f>
        <v>0.51875000000000004</v>
      </c>
      <c r="S44">
        <v>0</v>
      </c>
      <c r="T44">
        <f t="shared" ref="T44:T51" si="24">S44/D44</f>
        <v>0</v>
      </c>
      <c r="U44">
        <v>0</v>
      </c>
      <c r="V44">
        <f t="shared" ref="V44:V51" si="25">U44/D44</f>
        <v>0</v>
      </c>
    </row>
    <row r="45" spans="1:22">
      <c r="A45" s="1"/>
      <c r="B45">
        <v>3</v>
      </c>
      <c r="C45" t="s">
        <v>2</v>
      </c>
      <c r="D45">
        <v>18</v>
      </c>
      <c r="E45">
        <f>D45/76</f>
        <v>0.23684210526315788</v>
      </c>
      <c r="F45">
        <v>1</v>
      </c>
      <c r="G45">
        <f t="shared" si="20"/>
        <v>5.5555555555555552E-2</v>
      </c>
      <c r="H45">
        <v>6</v>
      </c>
      <c r="I45">
        <f t="shared" si="21"/>
        <v>0.33333333333333331</v>
      </c>
      <c r="J45">
        <v>11</v>
      </c>
      <c r="K45">
        <f t="shared" si="22"/>
        <v>0.61111111111111116</v>
      </c>
      <c r="L45">
        <v>0</v>
      </c>
      <c r="M45">
        <f t="shared" si="23"/>
        <v>0</v>
      </c>
      <c r="P45">
        <f>(F45*5+H45*4+J45*3+L45*2)/D45</f>
        <v>3.4444444444444446</v>
      </c>
      <c r="Q45">
        <f>(13+16+14+19+35+29+23+20+26+16+13+18+20+11+13+19+22+17)/D45</f>
        <v>19.111111111111111</v>
      </c>
      <c r="R45">
        <f>Q45/40</f>
        <v>0.47777777777777775</v>
      </c>
      <c r="S45">
        <v>0</v>
      </c>
      <c r="T45">
        <f t="shared" si="24"/>
        <v>0</v>
      </c>
      <c r="U45">
        <v>0</v>
      </c>
      <c r="V45">
        <f t="shared" si="25"/>
        <v>0</v>
      </c>
    </row>
    <row r="46" spans="1:22">
      <c r="A46" s="1"/>
      <c r="B46">
        <v>4</v>
      </c>
      <c r="C46" t="s">
        <v>3</v>
      </c>
      <c r="D46">
        <v>4</v>
      </c>
      <c r="E46">
        <f>D46/36</f>
        <v>0.1111111111111111</v>
      </c>
      <c r="F46">
        <v>0</v>
      </c>
      <c r="G46">
        <f t="shared" si="20"/>
        <v>0</v>
      </c>
      <c r="H46">
        <v>0</v>
      </c>
      <c r="I46">
        <f t="shared" si="21"/>
        <v>0</v>
      </c>
      <c r="J46">
        <v>4</v>
      </c>
      <c r="K46">
        <f t="shared" si="22"/>
        <v>1</v>
      </c>
      <c r="L46">
        <v>0</v>
      </c>
      <c r="M46">
        <f t="shared" si="23"/>
        <v>0</v>
      </c>
      <c r="P46">
        <f>(F46*5+H46*4+J46*3+L46*2)/D46</f>
        <v>3</v>
      </c>
      <c r="Q46">
        <f>(18+18+19+17)/D46</f>
        <v>18</v>
      </c>
      <c r="R46">
        <f>Q46/40</f>
        <v>0.45</v>
      </c>
      <c r="S46">
        <v>0</v>
      </c>
      <c r="T46">
        <f t="shared" si="24"/>
        <v>0</v>
      </c>
      <c r="U46">
        <v>0</v>
      </c>
      <c r="V46">
        <f t="shared" si="25"/>
        <v>0</v>
      </c>
    </row>
    <row r="47" spans="1:22">
      <c r="A47" s="1"/>
      <c r="B47">
        <v>5</v>
      </c>
      <c r="C47" t="s">
        <v>4</v>
      </c>
      <c r="G47" t="e">
        <f t="shared" si="20"/>
        <v>#DIV/0!</v>
      </c>
      <c r="I47" t="e">
        <f t="shared" si="21"/>
        <v>#DIV/0!</v>
      </c>
      <c r="K47" t="e">
        <f t="shared" si="22"/>
        <v>#DIV/0!</v>
      </c>
      <c r="M47" t="e">
        <f t="shared" si="23"/>
        <v>#DIV/0!</v>
      </c>
      <c r="T47" t="e">
        <f t="shared" si="24"/>
        <v>#DIV/0!</v>
      </c>
      <c r="V47" t="e">
        <f t="shared" si="25"/>
        <v>#DIV/0!</v>
      </c>
    </row>
    <row r="48" spans="1:22">
      <c r="A48" s="1"/>
      <c r="B48">
        <v>6</v>
      </c>
      <c r="C48" t="s">
        <v>5</v>
      </c>
      <c r="D48">
        <v>0</v>
      </c>
      <c r="E48">
        <f>D48/10</f>
        <v>0</v>
      </c>
      <c r="F48">
        <v>0</v>
      </c>
      <c r="G48" t="e">
        <f t="shared" si="20"/>
        <v>#DIV/0!</v>
      </c>
      <c r="H48">
        <v>0</v>
      </c>
      <c r="I48" t="e">
        <f t="shared" si="21"/>
        <v>#DIV/0!</v>
      </c>
      <c r="J48">
        <v>0</v>
      </c>
      <c r="K48" t="e">
        <f t="shared" si="22"/>
        <v>#DIV/0!</v>
      </c>
      <c r="L48">
        <v>0</v>
      </c>
      <c r="M48" t="e">
        <f t="shared" si="23"/>
        <v>#DIV/0!</v>
      </c>
      <c r="P48">
        <v>0</v>
      </c>
      <c r="Q48">
        <v>0</v>
      </c>
      <c r="R48">
        <v>0</v>
      </c>
      <c r="T48" t="e">
        <f t="shared" si="24"/>
        <v>#DIV/0!</v>
      </c>
      <c r="V48" t="e">
        <f t="shared" si="25"/>
        <v>#DIV/0!</v>
      </c>
    </row>
    <row r="49" spans="1:22">
      <c r="A49" s="1"/>
      <c r="B49">
        <v>7</v>
      </c>
      <c r="C49" t="s">
        <v>16</v>
      </c>
      <c r="E49">
        <f>D49/3</f>
        <v>0</v>
      </c>
      <c r="G49" t="e">
        <f t="shared" si="20"/>
        <v>#DIV/0!</v>
      </c>
      <c r="I49" t="e">
        <f t="shared" si="21"/>
        <v>#DIV/0!</v>
      </c>
      <c r="K49" t="e">
        <f t="shared" si="22"/>
        <v>#DIV/0!</v>
      </c>
      <c r="M49" t="e">
        <f t="shared" si="23"/>
        <v>#DIV/0!</v>
      </c>
      <c r="T49" t="e">
        <f t="shared" si="24"/>
        <v>#DIV/0!</v>
      </c>
      <c r="V49" t="e">
        <f t="shared" si="25"/>
        <v>#DIV/0!</v>
      </c>
    </row>
    <row r="50" spans="1:22">
      <c r="A50" s="1"/>
      <c r="B50">
        <v>8</v>
      </c>
      <c r="C50" t="s">
        <v>17</v>
      </c>
      <c r="E50">
        <f>D50/5</f>
        <v>0</v>
      </c>
      <c r="G50" t="e">
        <f t="shared" si="20"/>
        <v>#DIV/0!</v>
      </c>
      <c r="I50" t="e">
        <f t="shared" si="21"/>
        <v>#DIV/0!</v>
      </c>
      <c r="K50" t="e">
        <f t="shared" si="22"/>
        <v>#DIV/0!</v>
      </c>
      <c r="M50" t="e">
        <f t="shared" si="23"/>
        <v>#DIV/0!</v>
      </c>
      <c r="S50">
        <v>0</v>
      </c>
      <c r="T50" t="e">
        <f t="shared" si="24"/>
        <v>#DIV/0!</v>
      </c>
      <c r="V50" t="e">
        <f t="shared" si="25"/>
        <v>#DIV/0!</v>
      </c>
    </row>
    <row r="51" spans="1:22">
      <c r="A51" s="1"/>
      <c r="C51" t="s">
        <v>6</v>
      </c>
      <c r="D51">
        <f>SUM(D43:D48)</f>
        <v>42</v>
      </c>
      <c r="E51">
        <f>D51/243</f>
        <v>0.1728395061728395</v>
      </c>
      <c r="F51">
        <f>SUM(F43:F50)</f>
        <v>8</v>
      </c>
      <c r="G51">
        <f t="shared" si="20"/>
        <v>0.19047619047619047</v>
      </c>
      <c r="H51">
        <f>SUM(H43:H50)</f>
        <v>15</v>
      </c>
      <c r="I51">
        <f t="shared" si="21"/>
        <v>0.35714285714285715</v>
      </c>
      <c r="J51">
        <f>SUM(J43:J50)</f>
        <v>19</v>
      </c>
      <c r="K51">
        <f t="shared" si="22"/>
        <v>0.45238095238095238</v>
      </c>
      <c r="L51">
        <f>SUM(L43:L50)</f>
        <v>0</v>
      </c>
      <c r="M51">
        <f t="shared" si="23"/>
        <v>0</v>
      </c>
      <c r="P51">
        <v>3.9</v>
      </c>
      <c r="Q51">
        <f>960/D51</f>
        <v>22.857142857142858</v>
      </c>
      <c r="R51">
        <f>960/(40*42)</f>
        <v>0.5714285714285714</v>
      </c>
      <c r="S51">
        <f>SUM(S43:S50)</f>
        <v>0</v>
      </c>
      <c r="T51">
        <f t="shared" si="24"/>
        <v>0</v>
      </c>
      <c r="U51">
        <f>SUM(U43:U50)</f>
        <v>0</v>
      </c>
      <c r="V51">
        <f t="shared" si="25"/>
        <v>0</v>
      </c>
    </row>
    <row r="52" spans="1:22">
      <c r="A52" s="1"/>
      <c r="C52" t="s">
        <v>21</v>
      </c>
    </row>
    <row r="66" spans="20:20">
      <c r="T66">
        <v>898</v>
      </c>
    </row>
  </sheetData>
  <mergeCells count="49">
    <mergeCell ref="R2:R3"/>
    <mergeCell ref="S2:T2"/>
    <mergeCell ref="U2:V2"/>
    <mergeCell ref="B1:R1"/>
    <mergeCell ref="A2:A13"/>
    <mergeCell ref="D2:E2"/>
    <mergeCell ref="F2:G2"/>
    <mergeCell ref="H2:I2"/>
    <mergeCell ref="J2:K2"/>
    <mergeCell ref="L2:M2"/>
    <mergeCell ref="N2:O2"/>
    <mergeCell ref="P2:P3"/>
    <mergeCell ref="Q2:Q3"/>
    <mergeCell ref="S15:T15"/>
    <mergeCell ref="U15:V15"/>
    <mergeCell ref="B14:R14"/>
    <mergeCell ref="P15:P16"/>
    <mergeCell ref="Q15:Q16"/>
    <mergeCell ref="R15:R16"/>
    <mergeCell ref="N15:O15"/>
    <mergeCell ref="L15:M15"/>
    <mergeCell ref="A15:A26"/>
    <mergeCell ref="D15:E15"/>
    <mergeCell ref="F15:G15"/>
    <mergeCell ref="H15:I15"/>
    <mergeCell ref="J15:K15"/>
    <mergeCell ref="A29:A40"/>
    <mergeCell ref="A41:A52"/>
    <mergeCell ref="D29:E29"/>
    <mergeCell ref="F29:G29"/>
    <mergeCell ref="H29:I29"/>
    <mergeCell ref="D41:E41"/>
    <mergeCell ref="B28:R28"/>
    <mergeCell ref="F41:G41"/>
    <mergeCell ref="H41:I41"/>
    <mergeCell ref="J41:K41"/>
    <mergeCell ref="L41:M41"/>
    <mergeCell ref="L29:M29"/>
    <mergeCell ref="Q41:Q42"/>
    <mergeCell ref="Q29:Q30"/>
    <mergeCell ref="R29:R30"/>
    <mergeCell ref="P41:P42"/>
    <mergeCell ref="U29:V29"/>
    <mergeCell ref="U41:V41"/>
    <mergeCell ref="J29:K29"/>
    <mergeCell ref="R41:R42"/>
    <mergeCell ref="P29:P30"/>
    <mergeCell ref="S41:T41"/>
    <mergeCell ref="S29:T2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2" manualBreakCount="2">
    <brk id="13" max="21" man="1"/>
    <brk id="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англ.яз.</vt:lpstr>
      <vt:lpstr>ИКТ</vt:lpstr>
      <vt:lpstr>биология</vt:lpstr>
      <vt:lpstr>География</vt:lpstr>
      <vt:lpstr>химия</vt:lpstr>
      <vt:lpstr>история</vt:lpstr>
      <vt:lpstr>Литература</vt:lpstr>
      <vt:lpstr>обществознан.</vt:lpstr>
      <vt:lpstr>физика</vt:lpstr>
      <vt:lpstr>Математика</vt:lpstr>
      <vt:lpstr>русский язык</vt:lpstr>
      <vt:lpstr>Лист1</vt:lpstr>
      <vt:lpstr>англ.яз.!Область_печати</vt:lpstr>
      <vt:lpstr>биология!Область_печати</vt:lpstr>
      <vt:lpstr>География!Область_печати</vt:lpstr>
      <vt:lpstr>ИКТ!Область_печати</vt:lpstr>
      <vt:lpstr>история!Область_печати</vt:lpstr>
      <vt:lpstr>Математика!Область_печати</vt:lpstr>
      <vt:lpstr>обществознан.!Область_печати</vt:lpstr>
      <vt:lpstr>'русский язык'!Область_печати</vt:lpstr>
      <vt:lpstr>физика!Область_печати</vt:lpstr>
      <vt:lpstr>химия!Область_печати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Хозяин</cp:lastModifiedBy>
  <cp:lastPrinted>2021-07-05T04:57:43Z</cp:lastPrinted>
  <dcterms:created xsi:type="dcterms:W3CDTF">2015-06-19T09:14:18Z</dcterms:created>
  <dcterms:modified xsi:type="dcterms:W3CDTF">2021-07-07T07:38:34Z</dcterms:modified>
</cp:coreProperties>
</file>